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vans\Documents\1. TARIFAS\1. PERIODO 2017-2021\Cargos Equivalentes\CARGOS EQUIVALENTES REALES\01 AÑO 3 (2017-2021)\5. Noviembre 2019 real\"/>
    </mc:Choice>
  </mc:AlternateContent>
  <bookViews>
    <workbookView xWindow="0" yWindow="0" windowWidth="20490" windowHeight="9900"/>
  </bookViews>
  <sheets>
    <sheet name="Resumen CUSPT E ajustados" sheetId="2" r:id="rId1"/>
    <sheet name="CUSPT Equivalente - Generadores" sheetId="3" r:id="rId2"/>
  </sheets>
  <externalReferences>
    <externalReference r:id="rId3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xlnm.Print_Area" localSheetId="1">'CUSPT Equivalente - Generadores'!$A$2:$M$28</definedName>
    <definedName name="_xlnm.Print_Area" localSheetId="0">'Resumen CUSPT E ajustados'!$A$1:$M$71</definedName>
    <definedName name="rdn">[1]Hidrometeorología!$D$14</definedName>
    <definedName name="rdx">[1]Hidrometeorología!$D$14</definedName>
    <definedName name="rrd">[1]IMP!$D$14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" i="3" l="1"/>
  <c r="D98" i="2" l="1"/>
  <c r="E98" i="2"/>
  <c r="F98" i="2"/>
  <c r="H98" i="2"/>
  <c r="I98" i="2"/>
  <c r="J98" i="2"/>
  <c r="K98" i="2"/>
  <c r="L98" i="2"/>
  <c r="C98" i="2"/>
  <c r="L62" i="3"/>
  <c r="K62" i="3"/>
  <c r="J62" i="3"/>
  <c r="I62" i="3"/>
  <c r="H62" i="3"/>
  <c r="F62" i="3"/>
  <c r="E62" i="3"/>
  <c r="M63" i="3"/>
  <c r="D62" i="3"/>
  <c r="C62" i="3"/>
  <c r="M62" i="3" l="1"/>
  <c r="M64" i="3" s="1"/>
  <c r="D97" i="2"/>
  <c r="E97" i="2"/>
  <c r="F97" i="2"/>
  <c r="G97" i="2"/>
  <c r="H97" i="2"/>
  <c r="I97" i="2"/>
  <c r="J97" i="2"/>
  <c r="K97" i="2"/>
  <c r="L97" i="2"/>
  <c r="C97" i="2"/>
  <c r="D96" i="2" l="1"/>
  <c r="E96" i="2"/>
  <c r="F96" i="2"/>
  <c r="G96" i="2"/>
  <c r="H96" i="2"/>
  <c r="I96" i="2"/>
  <c r="J96" i="2"/>
  <c r="K96" i="2"/>
  <c r="L96" i="2"/>
  <c r="C96" i="2"/>
  <c r="L50" i="3"/>
  <c r="K50" i="3"/>
  <c r="J50" i="3"/>
  <c r="I50" i="3"/>
  <c r="H50" i="3"/>
  <c r="G50" i="3"/>
  <c r="F50" i="3"/>
  <c r="E50" i="3"/>
  <c r="D50" i="3"/>
  <c r="C50" i="3"/>
  <c r="F44" i="3" l="1"/>
  <c r="L95" i="2" l="1"/>
  <c r="D95" i="2"/>
  <c r="E95" i="2"/>
  <c r="G95" i="2"/>
  <c r="H95" i="2"/>
  <c r="I95" i="2"/>
  <c r="J95" i="2"/>
  <c r="K95" i="2"/>
  <c r="C95" i="2"/>
  <c r="L44" i="3"/>
  <c r="K44" i="3"/>
  <c r="J44" i="3"/>
  <c r="I44" i="3"/>
  <c r="H44" i="3"/>
  <c r="G44" i="3"/>
  <c r="E44" i="3"/>
  <c r="D44" i="3"/>
  <c r="C44" i="3"/>
  <c r="D94" i="2" l="1"/>
  <c r="E94" i="2"/>
  <c r="F94" i="2"/>
  <c r="G94" i="2"/>
  <c r="H94" i="2"/>
  <c r="I94" i="2"/>
  <c r="J94" i="2"/>
  <c r="K94" i="2"/>
  <c r="L94" i="2"/>
  <c r="C94" i="2"/>
  <c r="D93" i="2"/>
  <c r="E93" i="2"/>
  <c r="F93" i="2"/>
  <c r="G93" i="2"/>
  <c r="H93" i="2"/>
  <c r="I93" i="2"/>
  <c r="J93" i="2"/>
  <c r="K93" i="2"/>
  <c r="L93" i="2"/>
  <c r="C93" i="2"/>
  <c r="M39" i="3"/>
  <c r="L38" i="3"/>
  <c r="K38" i="3"/>
  <c r="J38" i="3"/>
  <c r="I38" i="3"/>
  <c r="H38" i="3"/>
  <c r="G38" i="3"/>
  <c r="F38" i="3"/>
  <c r="E38" i="3"/>
  <c r="D38" i="3"/>
  <c r="C38" i="3"/>
  <c r="M38" i="3" s="1"/>
  <c r="M40" i="3" s="1"/>
  <c r="L94" i="3" l="1"/>
  <c r="K94" i="3"/>
  <c r="J94" i="3"/>
  <c r="I94" i="3"/>
  <c r="H94" i="3"/>
  <c r="G94" i="3"/>
  <c r="F94" i="3"/>
  <c r="E94" i="3"/>
  <c r="D94" i="3"/>
  <c r="C94" i="3"/>
  <c r="L64" i="3"/>
  <c r="K64" i="3"/>
  <c r="J64" i="3"/>
  <c r="I64" i="3"/>
  <c r="H64" i="3"/>
  <c r="G64" i="3"/>
  <c r="G98" i="2" s="1"/>
  <c r="F64" i="3"/>
  <c r="E64" i="3"/>
  <c r="C64" i="3"/>
  <c r="D46" i="3"/>
  <c r="E46" i="3"/>
  <c r="F46" i="3"/>
  <c r="G46" i="3"/>
  <c r="H46" i="3"/>
  <c r="I46" i="3"/>
  <c r="J46" i="3"/>
  <c r="K46" i="3"/>
  <c r="L46" i="3"/>
  <c r="C46" i="3"/>
  <c r="C31" i="3"/>
  <c r="D31" i="3"/>
  <c r="E31" i="3"/>
  <c r="F31" i="3"/>
  <c r="G31" i="3"/>
  <c r="H31" i="3"/>
  <c r="I31" i="3"/>
  <c r="J31" i="3"/>
  <c r="K31" i="3"/>
  <c r="L31" i="3"/>
  <c r="C32" i="3"/>
  <c r="D32" i="3"/>
  <c r="E32" i="3"/>
  <c r="F32" i="3"/>
  <c r="G32" i="3"/>
  <c r="H32" i="3"/>
  <c r="I32" i="3"/>
  <c r="J32" i="3"/>
  <c r="K32" i="3"/>
  <c r="L32" i="3"/>
  <c r="F95" i="2" l="1"/>
  <c r="M17" i="3"/>
  <c r="M10" i="3"/>
  <c r="L100" i="3" l="1"/>
  <c r="K100" i="3"/>
  <c r="J100" i="3"/>
  <c r="I100" i="3"/>
  <c r="H100" i="3"/>
  <c r="G100" i="3"/>
  <c r="F100" i="3"/>
  <c r="E100" i="3"/>
  <c r="D100" i="3"/>
  <c r="C100" i="3"/>
  <c r="M99" i="3"/>
  <c r="M98" i="3"/>
  <c r="M100" i="3" l="1"/>
  <c r="M92" i="3"/>
  <c r="M93" i="3"/>
  <c r="M94" i="3" l="1"/>
  <c r="M88" i="3"/>
  <c r="D88" i="3"/>
  <c r="G88" i="3"/>
  <c r="H88" i="3"/>
  <c r="K88" i="3"/>
  <c r="L88" i="3"/>
  <c r="E88" i="3"/>
  <c r="F88" i="3"/>
  <c r="I88" i="3"/>
  <c r="J88" i="3"/>
  <c r="C88" i="3" l="1"/>
  <c r="L82" i="3" l="1"/>
  <c r="J82" i="3"/>
  <c r="E82" i="3"/>
  <c r="D82" i="3"/>
  <c r="C82" i="3"/>
  <c r="F82" i="3"/>
  <c r="K82" i="3"/>
  <c r="I82" i="3"/>
  <c r="H82" i="3"/>
  <c r="G82" i="3" l="1"/>
  <c r="M82" i="3" l="1"/>
  <c r="G76" i="3"/>
  <c r="L76" i="3"/>
  <c r="K76" i="3"/>
  <c r="I76" i="3"/>
  <c r="H76" i="3"/>
  <c r="D76" i="3"/>
  <c r="C76" i="3"/>
  <c r="F76" i="3" l="1"/>
  <c r="J76" i="3"/>
  <c r="E76" i="3"/>
  <c r="J70" i="3"/>
  <c r="K70" i="3"/>
  <c r="H70" i="3"/>
  <c r="M76" i="3" l="1"/>
  <c r="I70" i="3"/>
  <c r="G70" i="3"/>
  <c r="C70" i="3"/>
  <c r="D70" i="3"/>
  <c r="E70" i="3" l="1"/>
  <c r="L70" i="3"/>
  <c r="M69" i="3"/>
  <c r="F70" i="3"/>
  <c r="M68" i="3"/>
  <c r="M70" i="3" l="1"/>
  <c r="I52" i="3"/>
  <c r="E52" i="3"/>
  <c r="M51" i="3" s="1"/>
  <c r="L52" i="3" s="1"/>
  <c r="M45" i="3"/>
  <c r="M44" i="3"/>
  <c r="L40" i="3"/>
  <c r="K40" i="3"/>
  <c r="J40" i="3"/>
  <c r="J41" i="3" s="1"/>
  <c r="I40" i="3"/>
  <c r="H40" i="3"/>
  <c r="G40" i="3"/>
  <c r="F40" i="3"/>
  <c r="F41" i="3" s="1"/>
  <c r="E40" i="3"/>
  <c r="D40" i="3"/>
  <c r="C40" i="3"/>
  <c r="M32" i="3"/>
  <c r="L33" i="3"/>
  <c r="J33" i="3"/>
  <c r="I33" i="3"/>
  <c r="H33" i="3"/>
  <c r="F33" i="3"/>
  <c r="E33" i="3"/>
  <c r="D33" i="3"/>
  <c r="D34" i="3" l="1"/>
  <c r="D47" i="3"/>
  <c r="D95" i="3"/>
  <c r="J34" i="3"/>
  <c r="J65" i="3"/>
  <c r="J47" i="3"/>
  <c r="J95" i="3"/>
  <c r="D41" i="3"/>
  <c r="H41" i="3"/>
  <c r="L41" i="3"/>
  <c r="H34" i="3"/>
  <c r="H65" i="3"/>
  <c r="H95" i="3"/>
  <c r="H47" i="3"/>
  <c r="I34" i="3"/>
  <c r="I65" i="3"/>
  <c r="I47" i="3"/>
  <c r="I95" i="3"/>
  <c r="E34" i="3"/>
  <c r="E65" i="3"/>
  <c r="E95" i="3"/>
  <c r="E47" i="3"/>
  <c r="F34" i="3"/>
  <c r="F65" i="3"/>
  <c r="F47" i="3"/>
  <c r="F95" i="3"/>
  <c r="L34" i="3"/>
  <c r="L65" i="3"/>
  <c r="L95" i="3"/>
  <c r="L47" i="3"/>
  <c r="E41" i="3"/>
  <c r="I41" i="3"/>
  <c r="E71" i="3"/>
  <c r="L101" i="3"/>
  <c r="L89" i="3"/>
  <c r="L83" i="3"/>
  <c r="L77" i="3"/>
  <c r="L71" i="3"/>
  <c r="I101" i="3"/>
  <c r="I89" i="3"/>
  <c r="I83" i="3"/>
  <c r="I77" i="3"/>
  <c r="I71" i="3"/>
  <c r="D101" i="3"/>
  <c r="D89" i="3"/>
  <c r="D83" i="3"/>
  <c r="D77" i="3"/>
  <c r="D71" i="3"/>
  <c r="E101" i="3"/>
  <c r="E89" i="3"/>
  <c r="E83" i="3"/>
  <c r="E77" i="3"/>
  <c r="F101" i="3"/>
  <c r="F89" i="3"/>
  <c r="F83" i="3"/>
  <c r="F77" i="3"/>
  <c r="J101" i="3"/>
  <c r="J89" i="3"/>
  <c r="J83" i="3"/>
  <c r="J77" i="3"/>
  <c r="J71" i="3"/>
  <c r="H101" i="3"/>
  <c r="H89" i="3"/>
  <c r="H83" i="3"/>
  <c r="H77" i="3"/>
  <c r="H71" i="3"/>
  <c r="F71" i="3"/>
  <c r="M46" i="3"/>
  <c r="C33" i="3"/>
  <c r="G33" i="3"/>
  <c r="K33" i="3"/>
  <c r="L53" i="3"/>
  <c r="K52" i="3" s="1"/>
  <c r="J52" i="3" s="1"/>
  <c r="H52" i="3" s="1"/>
  <c r="H53" i="3" s="1"/>
  <c r="G52" i="3" s="1"/>
  <c r="F52" i="3" s="1"/>
  <c r="D52" i="3" s="1"/>
  <c r="D53" i="3" s="1"/>
  <c r="C52" i="3" s="1"/>
  <c r="E53" i="3"/>
  <c r="I53" i="3"/>
  <c r="M50" i="3"/>
  <c r="M52" i="3" s="1"/>
  <c r="M31" i="3"/>
  <c r="M33" i="3" s="1"/>
  <c r="M65" i="3" l="1"/>
  <c r="M41" i="3"/>
  <c r="K34" i="3"/>
  <c r="K47" i="3"/>
  <c r="K95" i="3"/>
  <c r="K65" i="3"/>
  <c r="G34" i="3"/>
  <c r="G65" i="3"/>
  <c r="G47" i="3"/>
  <c r="G95" i="3"/>
  <c r="C34" i="3"/>
  <c r="C47" i="3"/>
  <c r="C65" i="3"/>
  <c r="C95" i="3"/>
  <c r="C41" i="3"/>
  <c r="K41" i="3"/>
  <c r="G41" i="3"/>
  <c r="C53" i="3"/>
  <c r="C101" i="3"/>
  <c r="C89" i="3"/>
  <c r="C83" i="3"/>
  <c r="C77" i="3"/>
  <c r="C71" i="3"/>
  <c r="M47" i="3"/>
  <c r="M101" i="3"/>
  <c r="M89" i="3"/>
  <c r="M95" i="3"/>
  <c r="M83" i="3"/>
  <c r="M77" i="3"/>
  <c r="M71" i="3"/>
  <c r="K101" i="3"/>
  <c r="K89" i="3"/>
  <c r="K83" i="3"/>
  <c r="K77" i="3"/>
  <c r="K71" i="3"/>
  <c r="G101" i="3"/>
  <c r="G89" i="3"/>
  <c r="G83" i="3"/>
  <c r="G77" i="3"/>
  <c r="G71" i="3"/>
  <c r="J53" i="3"/>
  <c r="G53" i="3"/>
  <c r="F53" i="3"/>
  <c r="K53" i="3"/>
  <c r="M53" i="3"/>
  <c r="M57" i="3" l="1"/>
  <c r="K58" i="3" l="1"/>
  <c r="E58" i="3"/>
  <c r="I58" i="3"/>
  <c r="H58" i="3"/>
  <c r="D58" i="3"/>
  <c r="F58" i="3"/>
  <c r="H59" i="3" l="1"/>
  <c r="D59" i="3"/>
  <c r="E59" i="3"/>
  <c r="K59" i="3"/>
  <c r="F59" i="3"/>
  <c r="I59" i="3"/>
  <c r="J58" i="3"/>
  <c r="L58" i="3"/>
  <c r="J59" i="3" l="1"/>
  <c r="C58" i="3"/>
  <c r="L59" i="3"/>
  <c r="C59" i="3" l="1"/>
  <c r="G58" i="3" l="1"/>
  <c r="M56" i="3"/>
  <c r="M58" i="3" l="1"/>
  <c r="M59" i="3" s="1"/>
  <c r="G59" i="3"/>
  <c r="D64" i="3" l="1"/>
  <c r="D65" i="3" s="1"/>
</calcChain>
</file>

<file path=xl/sharedStrings.xml><?xml version="1.0" encoding="utf-8"?>
<sst xmlns="http://schemas.openxmlformats.org/spreadsheetml/2006/main" count="214" uniqueCount="106">
  <si>
    <t xml:space="preserve">EMPRESA DE TRANSMISIÓN ELÉCTRICA, S.A. </t>
  </si>
  <si>
    <t>Resumen CUSPT Equivalentes ajustados</t>
  </si>
  <si>
    <t>II SEMESTRE-Año 1</t>
  </si>
  <si>
    <t>Zona:</t>
  </si>
  <si>
    <t>CUSPT equivalente Pliego Tarifario</t>
  </si>
  <si>
    <t>CUSPT Equivalente ajustado  Enero 2014</t>
  </si>
  <si>
    <t>CUSPT Equivalente ajustado  Febrero 2014</t>
  </si>
  <si>
    <t>CUSPT Equivalente ajustado  Marzo 2014</t>
  </si>
  <si>
    <t>CUSPT Equivalente ajustado Abril 2014</t>
  </si>
  <si>
    <t>CUSPT Equivalente ajustado  Mayo 2014</t>
  </si>
  <si>
    <t>CUSPT Equivalente ajustado  Junio 2014</t>
  </si>
  <si>
    <t>AÑO TARIFARIO No. 2 (01 Julio 2014- 30 Junio 2015)</t>
  </si>
  <si>
    <t>I SEMESTRE-Año 2</t>
  </si>
  <si>
    <t>CUSPT Equivalente ajustado  Julio 2014</t>
  </si>
  <si>
    <t>CUSPT Equivalente ajustado  Agosto 2014</t>
  </si>
  <si>
    <t>CUSPT Equivalente ajustado  Septiembre 2014</t>
  </si>
  <si>
    <t>CUSPT Equivalente ajustado  Octubre 2014</t>
  </si>
  <si>
    <t>CUSPT Equivalente ajustado Noviembre 2014</t>
  </si>
  <si>
    <t>CUSPT Equivalente ajustado Diciembre 2014</t>
  </si>
  <si>
    <t>II SEMESTRE-Año 2</t>
  </si>
  <si>
    <t>CUSPT Equivalente ajustado  Enero 2015</t>
  </si>
  <si>
    <t>CUSPT Equivalente ajustado  Febrero 2015</t>
  </si>
  <si>
    <t>CUSPT Equivalente ajustado Marzo 2015</t>
  </si>
  <si>
    <t>CUSPT Equivalente ajustado Abril 2015</t>
  </si>
  <si>
    <t>CUSPT Equivalente ajustado Mayo 2015</t>
  </si>
  <si>
    <t>CUSPT Equivalente ajustado Junio 2015</t>
  </si>
  <si>
    <t>AÑO TARIFARIO No. 3 (01 Julio 2015- 30 Junio 2016)</t>
  </si>
  <si>
    <t>I SEMESTRE-Año 3</t>
  </si>
  <si>
    <t>CUSPT Equivalente ajustado  Julio 2015</t>
  </si>
  <si>
    <t>CUSPT Equivalente ajustado Agosto 2015</t>
  </si>
  <si>
    <t>CUSPT Equivalente ajustado Septiembre 2015</t>
  </si>
  <si>
    <t>CUSPT Equivalente ajustado Octubre 2015</t>
  </si>
  <si>
    <t>CUSPT Equivalente ajustado Noviembre 2015</t>
  </si>
  <si>
    <t>CUSPT Equivalente ajustado Diciembre 2015</t>
  </si>
  <si>
    <t>II SEMESTRE-Año 3</t>
  </si>
  <si>
    <t>CUSPT Equivalente ajustado  Enero 2016</t>
  </si>
  <si>
    <t>CUSPT Equivalente ajustado  Febrero 2016</t>
  </si>
  <si>
    <t>CUSPT Equivalente ajustado  Marzo 2016</t>
  </si>
  <si>
    <t>CUSPT Equivalente ajustado  Abril 2016</t>
  </si>
  <si>
    <t>CUSPT Equivalente ajustado  Mayo 2016</t>
  </si>
  <si>
    <t>CUSPT Equivalente ajustado  Junio 2016</t>
  </si>
  <si>
    <t>AÑO TARIFARIO No. 4 (01 Julio 2016- 30 Junio 2017)</t>
  </si>
  <si>
    <t>I SEMESTRE-Año 4</t>
  </si>
  <si>
    <t>CUSPT Equivalente ajustado  Julio 2016</t>
  </si>
  <si>
    <t>CUSPT Equivalente ajustado Agosto 2016</t>
  </si>
  <si>
    <t>CUSPT Equivalente ajustado Septiembre 2016</t>
  </si>
  <si>
    <t>CUSPT Equivalente ajustado Octubre 2016</t>
  </si>
  <si>
    <t>CUSPT Equivalente ajustado Noviembre 2016</t>
  </si>
  <si>
    <t>CUSPT Equivalente ajustado Diciembre 2016</t>
  </si>
  <si>
    <t>II SEMESTRE-Año 4</t>
  </si>
  <si>
    <t>CUSPT Equivalente ajustado  Enero 2017</t>
  </si>
  <si>
    <t>CUSPT Equivalente ajustado  Febrero 2017</t>
  </si>
  <si>
    <t>CUSPT Equivalente ajustado  Marzo 2017</t>
  </si>
  <si>
    <t>CUSPT Equivalente ajustado  Abril 2017</t>
  </si>
  <si>
    <t>CUSPT Equivalente ajustado  Mayo 2017</t>
  </si>
  <si>
    <t>CUSPT Equivalente ajustado  Junio 2017</t>
  </si>
  <si>
    <t>AÑO TARIFARIO No. 1 (01 Julio 2017- 30 Junio 2018)</t>
  </si>
  <si>
    <t>I SEMESTRE-Año 1</t>
  </si>
  <si>
    <t>CUSPT Equivalente ajustado  Julio 2017</t>
  </si>
  <si>
    <t>CUSPT Equivalente ajustado Agosto 2017</t>
  </si>
  <si>
    <t>CUSPT Equivalente ajustado Septiembre 2017</t>
  </si>
  <si>
    <t>CUSPT Equivalente ajustado Octubre 2017</t>
  </si>
  <si>
    <t>CUSPT Equivalente ajustado Noviembre 2017</t>
  </si>
  <si>
    <t>CUSPT Equivalente ajustado Diciembre 2017</t>
  </si>
  <si>
    <t>CUSPT Equivalente ajustado  Enero 2018</t>
  </si>
  <si>
    <t>CUSPT Equivalente ajustado  Febrero 2018</t>
  </si>
  <si>
    <t>CUSPT Equivalente ajustado  Marzo 2018</t>
  </si>
  <si>
    <t>CUSPT Equivalente ajustado Abril 2018</t>
  </si>
  <si>
    <t>CUSPT Equivalente ajustado Mayo 2018</t>
  </si>
  <si>
    <t>CUSPT Equivalente ajustado Junio 2018</t>
  </si>
  <si>
    <t>PERIODO TARIFARIO 2017-2021</t>
  </si>
  <si>
    <t>CARGO EQUIVALENTE POR USO DEL SISTEMA DE TRANSMISIÓN PARA GENERADORES</t>
  </si>
  <si>
    <t>Según Resolución AN No. 8068-Elec del 20 de noviembre de 2014</t>
  </si>
  <si>
    <t>Ingreso Total Previsto por CUSPT (Seguimiento Eléctrico + Estampilla Postal)  [ kB/. ]</t>
  </si>
  <si>
    <t>Total</t>
  </si>
  <si>
    <t>AT1</t>
  </si>
  <si>
    <t>GEN</t>
  </si>
  <si>
    <t>AT2</t>
  </si>
  <si>
    <t>AT3</t>
  </si>
  <si>
    <t>AT4</t>
  </si>
  <si>
    <t>Capacidad Instalada de Generación (Cinst) [ MW ]</t>
  </si>
  <si>
    <t xml:space="preserve"> Cinst (G)</t>
  </si>
  <si>
    <t>APROBADOS EN EL PLIEGO TARIFARIO PUBLICADO-VIGENTE</t>
  </si>
  <si>
    <t>CUSPT equivalentes  [ B/. / kW-mes ]</t>
  </si>
  <si>
    <t>CUSPT equivalentes mensuales ajustados [ B/. / kW-mes ]</t>
  </si>
  <si>
    <t>Ingreso previsto mensual inicial</t>
  </si>
  <si>
    <t>Capacidad Instalada MW</t>
  </si>
  <si>
    <t>Cargo equivalente inicial</t>
  </si>
  <si>
    <t xml:space="preserve">% Variación respecto al inicial </t>
  </si>
  <si>
    <t>Ingreso previsto mensual facturado</t>
  </si>
  <si>
    <t xml:space="preserve">Cargo equivalente ajustado </t>
  </si>
  <si>
    <t>Julio 2019- Junio 2020</t>
  </si>
  <si>
    <t>Año Tarifario No. 3</t>
  </si>
  <si>
    <t>AÑO TARIFARIO No. 3 (01 Julio 2019- 30 Junio 2020)</t>
  </si>
  <si>
    <t>Gerencia de Tarifas</t>
  </si>
  <si>
    <t>CUSPT Equivalente ajustado  Julio 2019</t>
  </si>
  <si>
    <t>CUSPT Equivalente ajustado Agosto 2019</t>
  </si>
  <si>
    <t>CUSPT Equivalente ajustado Septiembre 2019</t>
  </si>
  <si>
    <t>CUSPT Equivalente ajustado Octubre 2019</t>
  </si>
  <si>
    <t>CUSPT Equivalente ajustado Noviembre 2019</t>
  </si>
  <si>
    <t>CUSPT Equivalente ajustado Diciembre 2019</t>
  </si>
  <si>
    <t>CUSPT Equivalente ajustado Enero 2020</t>
  </si>
  <si>
    <t>CUSPT Equivalente ajustado Febrero  2020</t>
  </si>
  <si>
    <t>CUSPT Equivalente ajustado Marzo  2020</t>
  </si>
  <si>
    <t>CUSPT Equivalente ajustado Abril  2020</t>
  </si>
  <si>
    <t>CUSPT Equivalente ajustado Mayo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</si>
</sst>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0.000"/>
    <numFmt numFmtId="166" formatCode="_(* #,##0.000_);_(* \(#,##0.0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0C0"/>
      <name val="Arial Narrow"/>
      <family val="2"/>
    </font>
    <font>
      <sz val="14"/>
      <color theme="1"/>
      <name val="Arial Narrow"/>
      <family val="2"/>
    </font>
    <font>
      <b/>
      <sz val="18"/>
      <color rgb="FF0070C0"/>
      <name val="Arial Narrow"/>
      <family val="2"/>
    </font>
    <font>
      <sz val="11"/>
      <color theme="1"/>
      <name val="Arial Narrow"/>
      <family val="2"/>
    </font>
    <font>
      <b/>
      <sz val="10"/>
      <color theme="0"/>
      <name val="Arial Narrow"/>
      <family val="2"/>
    </font>
    <font>
      <b/>
      <sz val="11"/>
      <color theme="1"/>
      <name val="Arial Narrow"/>
      <family val="2"/>
    </font>
    <font>
      <sz val="10"/>
      <name val="Arial Narrow"/>
      <family val="2"/>
    </font>
    <font>
      <b/>
      <sz val="16"/>
      <color rgb="FF0070C0"/>
      <name val="Arial Narrow"/>
      <family val="2"/>
    </font>
    <font>
      <b/>
      <sz val="11"/>
      <color theme="0"/>
      <name val="Arial Narrow"/>
      <family val="2"/>
    </font>
    <font>
      <b/>
      <sz val="10"/>
      <name val="Arial Narrow"/>
      <family val="2"/>
    </font>
    <font>
      <sz val="11"/>
      <color rgb="FFFF0000"/>
      <name val="Arial Narrow"/>
      <family val="2"/>
    </font>
    <font>
      <b/>
      <sz val="12"/>
      <color theme="0"/>
      <name val="Arial Narrow"/>
      <family val="2"/>
    </font>
    <font>
      <b/>
      <sz val="12"/>
      <name val="Arial Narrow"/>
      <family val="2"/>
    </font>
    <font>
      <b/>
      <sz val="14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b/>
      <sz val="16"/>
      <name val="Arial Narrow"/>
      <family val="2"/>
    </font>
    <font>
      <sz val="16"/>
      <color theme="1"/>
      <name val="Arial Narrow"/>
      <family val="2"/>
    </font>
    <font>
      <sz val="16"/>
      <name val="Arial Narrow"/>
      <family val="2"/>
    </font>
    <font>
      <b/>
      <sz val="16"/>
      <color theme="0"/>
      <name val="Arial Narrow"/>
      <family val="2"/>
    </font>
    <font>
      <sz val="16"/>
      <color rgb="FFFF0000"/>
      <name val="Arial Narrow"/>
      <family val="2"/>
    </font>
    <font>
      <b/>
      <sz val="16"/>
      <color theme="1"/>
      <name val="Arial Narrow"/>
      <family val="2"/>
    </font>
    <font>
      <b/>
      <sz val="14"/>
      <color theme="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8"/>
      <color theme="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theme="0"/>
      </bottom>
      <diagonal/>
    </border>
    <border>
      <left/>
      <right/>
      <top style="thin">
        <color indexed="64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0"/>
      </bottom>
      <diagonal/>
    </border>
    <border>
      <left style="thin">
        <color indexed="64"/>
      </left>
      <right/>
      <top style="thick">
        <color theme="0"/>
      </top>
      <bottom style="thick">
        <color theme="0" tint="-0.14996795556505021"/>
      </bottom>
      <diagonal/>
    </border>
    <border>
      <left/>
      <right/>
      <top style="thick">
        <color theme="0"/>
      </top>
      <bottom style="thick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ck">
        <color theme="0"/>
      </top>
      <bottom style="thick">
        <color theme="0" tint="-0.14996795556505021"/>
      </bottom>
      <diagonal/>
    </border>
    <border>
      <left style="thin">
        <color indexed="64"/>
      </left>
      <right/>
      <top style="thick">
        <color theme="0" tint="-0.14996795556505021"/>
      </top>
      <bottom style="thick">
        <color theme="0" tint="-0.14996795556505021"/>
      </bottom>
      <diagonal/>
    </border>
    <border>
      <left/>
      <right/>
      <top style="thick">
        <color theme="0" tint="-0.14996795556505021"/>
      </top>
      <bottom style="thick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ck">
        <color theme="0" tint="-0.14996795556505021"/>
      </top>
      <bottom style="thick">
        <color theme="0" tint="-0.14996795556505021"/>
      </bottom>
      <diagonal/>
    </border>
    <border>
      <left style="thin">
        <color indexed="64"/>
      </left>
      <right/>
      <top style="thick">
        <color theme="0" tint="-0.14996795556505021"/>
      </top>
      <bottom style="thin">
        <color indexed="64"/>
      </bottom>
      <diagonal/>
    </border>
    <border>
      <left/>
      <right/>
      <top style="thick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ck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ck">
        <color theme="0" tint="-0.1499679555650502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/>
    <xf numFmtId="0" fontId="5" fillId="0" borderId="0" xfId="0" applyFont="1"/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right" vertical="center" indent="1"/>
    </xf>
    <xf numFmtId="0" fontId="6" fillId="2" borderId="4" xfId="0" applyFont="1" applyFill="1" applyBorder="1" applyAlignment="1">
      <alignment horizontal="right" vertical="center" indent="1"/>
    </xf>
    <xf numFmtId="0" fontId="7" fillId="0" borderId="0" xfId="0" applyFont="1" applyFill="1"/>
    <xf numFmtId="17" fontId="8" fillId="3" borderId="5" xfId="0" applyNumberFormat="1" applyFont="1" applyFill="1" applyBorder="1" applyAlignment="1">
      <alignment horizontal="left" vertical="center"/>
    </xf>
    <xf numFmtId="0" fontId="5" fillId="3" borderId="6" xfId="0" applyFont="1" applyFill="1" applyBorder="1"/>
    <xf numFmtId="165" fontId="5" fillId="3" borderId="7" xfId="0" applyNumberFormat="1" applyFont="1" applyFill="1" applyBorder="1"/>
    <xf numFmtId="0" fontId="5" fillId="0" borderId="0" xfId="0" applyFont="1" applyFill="1"/>
    <xf numFmtId="17" fontId="8" fillId="4" borderId="8" xfId="0" applyNumberFormat="1" applyFont="1" applyFill="1" applyBorder="1" applyAlignment="1">
      <alignment horizontal="left" vertical="center"/>
    </xf>
    <xf numFmtId="0" fontId="5" fillId="4" borderId="9" xfId="0" applyFont="1" applyFill="1" applyBorder="1"/>
    <xf numFmtId="165" fontId="5" fillId="4" borderId="10" xfId="0" applyNumberFormat="1" applyFont="1" applyFill="1" applyBorder="1"/>
    <xf numFmtId="17" fontId="8" fillId="4" borderId="11" xfId="0" applyNumberFormat="1" applyFont="1" applyFill="1" applyBorder="1" applyAlignment="1">
      <alignment horizontal="left" vertical="center"/>
    </xf>
    <xf numFmtId="0" fontId="5" fillId="4" borderId="12" xfId="0" applyFont="1" applyFill="1" applyBorder="1"/>
    <xf numFmtId="165" fontId="5" fillId="4" borderId="13" xfId="0" applyNumberFormat="1" applyFont="1" applyFill="1" applyBorder="1"/>
    <xf numFmtId="17" fontId="8" fillId="4" borderId="14" xfId="0" applyNumberFormat="1" applyFont="1" applyFill="1" applyBorder="1" applyAlignment="1">
      <alignment horizontal="left" vertical="center"/>
    </xf>
    <xf numFmtId="0" fontId="5" fillId="4" borderId="15" xfId="0" applyFont="1" applyFill="1" applyBorder="1"/>
    <xf numFmtId="165" fontId="5" fillId="4" borderId="16" xfId="0" applyNumberFormat="1" applyFont="1" applyFill="1" applyBorder="1"/>
    <xf numFmtId="165" fontId="7" fillId="3" borderId="7" xfId="0" applyNumberFormat="1" applyFont="1" applyFill="1" applyBorder="1"/>
    <xf numFmtId="165" fontId="5" fillId="0" borderId="0" xfId="0" applyNumberFormat="1" applyFont="1" applyFill="1"/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right" vertical="center" indent="1"/>
    </xf>
    <xf numFmtId="17" fontId="11" fillId="3" borderId="5" xfId="0" applyNumberFormat="1" applyFont="1" applyFill="1" applyBorder="1" applyAlignment="1">
      <alignment horizontal="left" vertical="center"/>
    </xf>
    <xf numFmtId="0" fontId="7" fillId="3" borderId="6" xfId="0" applyFont="1" applyFill="1" applyBorder="1"/>
    <xf numFmtId="165" fontId="5" fillId="0" borderId="0" xfId="0" applyNumberFormat="1" applyFont="1"/>
    <xf numFmtId="0" fontId="12" fillId="0" borderId="0" xfId="0" applyFont="1"/>
    <xf numFmtId="0" fontId="5" fillId="0" borderId="0" xfId="0" applyFont="1" applyFill="1" applyBorder="1"/>
    <xf numFmtId="17" fontId="8" fillId="4" borderId="17" xfId="0" applyNumberFormat="1" applyFont="1" applyFill="1" applyBorder="1" applyAlignment="1">
      <alignment horizontal="left" vertical="center"/>
    </xf>
    <xf numFmtId="0" fontId="5" fillId="4" borderId="18" xfId="0" applyFont="1" applyFill="1" applyBorder="1"/>
    <xf numFmtId="17" fontId="11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165" fontId="7" fillId="0" borderId="0" xfId="0" applyNumberFormat="1" applyFont="1" applyFill="1" applyBorder="1"/>
    <xf numFmtId="0" fontId="13" fillId="2" borderId="2" xfId="0" applyFont="1" applyFill="1" applyBorder="1" applyAlignment="1">
      <alignment horizontal="center" vertical="center"/>
    </xf>
    <xf numFmtId="17" fontId="14" fillId="3" borderId="5" xfId="0" applyNumberFormat="1" applyFont="1" applyFill="1" applyBorder="1" applyAlignment="1">
      <alignment horizontal="left" vertical="center"/>
    </xf>
    <xf numFmtId="165" fontId="15" fillId="3" borderId="7" xfId="0" applyNumberFormat="1" applyFont="1" applyFill="1" applyBorder="1"/>
    <xf numFmtId="17" fontId="16" fillId="4" borderId="8" xfId="0" applyNumberFormat="1" applyFont="1" applyFill="1" applyBorder="1" applyAlignment="1">
      <alignment horizontal="left" vertical="center"/>
    </xf>
    <xf numFmtId="165" fontId="17" fillId="4" borderId="10" xfId="0" applyNumberFormat="1" applyFont="1" applyFill="1" applyBorder="1"/>
    <xf numFmtId="0" fontId="19" fillId="0" borderId="0" xfId="0" applyFont="1" applyFill="1"/>
    <xf numFmtId="0" fontId="19" fillId="0" borderId="0" xfId="0" applyFont="1"/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/>
    <xf numFmtId="0" fontId="20" fillId="0" borderId="0" xfId="0" applyFont="1" applyFill="1" applyAlignment="1">
      <alignment horizontal="center" vertical="center"/>
    </xf>
    <xf numFmtId="0" fontId="20" fillId="0" borderId="0" xfId="0" applyFont="1"/>
    <xf numFmtId="0" fontId="20" fillId="0" borderId="0" xfId="0" applyFont="1" applyFill="1"/>
    <xf numFmtId="0" fontId="21" fillId="2" borderId="19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right" vertical="center" indent="1"/>
    </xf>
    <xf numFmtId="17" fontId="18" fillId="4" borderId="10" xfId="0" applyNumberFormat="1" applyFont="1" applyFill="1" applyBorder="1" applyAlignment="1">
      <alignment horizontal="center" vertical="center"/>
    </xf>
    <xf numFmtId="17" fontId="20" fillId="4" borderId="10" xfId="0" applyNumberFormat="1" applyFont="1" applyFill="1" applyBorder="1" applyAlignment="1">
      <alignment horizontal="center" vertical="center"/>
    </xf>
    <xf numFmtId="43" fontId="19" fillId="4" borderId="10" xfId="2" applyNumberFormat="1" applyFont="1" applyFill="1" applyBorder="1"/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 indent="1"/>
    </xf>
    <xf numFmtId="4" fontId="22" fillId="0" borderId="0" xfId="0" applyNumberFormat="1" applyFont="1" applyAlignment="1">
      <alignment horizontal="center" vertical="center"/>
    </xf>
    <xf numFmtId="4" fontId="22" fillId="0" borderId="0" xfId="2" applyNumberFormat="1" applyFont="1" applyAlignment="1">
      <alignment horizontal="right" vertical="center"/>
    </xf>
    <xf numFmtId="43" fontId="19" fillId="0" borderId="0" xfId="0" applyNumberFormat="1" applyFont="1" applyFill="1"/>
    <xf numFmtId="0" fontId="19" fillId="0" borderId="0" xfId="0" applyFont="1" applyBorder="1"/>
    <xf numFmtId="43" fontId="19" fillId="0" borderId="0" xfId="2" applyFont="1" applyBorder="1" applyAlignment="1">
      <alignment horizontal="right"/>
    </xf>
    <xf numFmtId="43" fontId="22" fillId="0" borderId="0" xfId="2" applyFont="1" applyAlignment="1">
      <alignment horizontal="right" vertical="center"/>
    </xf>
    <xf numFmtId="166" fontId="19" fillId="0" borderId="0" xfId="2" applyNumberFormat="1" applyFont="1" applyFill="1"/>
    <xf numFmtId="0" fontId="21" fillId="2" borderId="4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right" vertical="center" indent="1"/>
    </xf>
    <xf numFmtId="0" fontId="21" fillId="2" borderId="7" xfId="0" applyFont="1" applyFill="1" applyBorder="1" applyAlignment="1">
      <alignment horizontal="right" vertical="center" indent="1"/>
    </xf>
    <xf numFmtId="166" fontId="19" fillId="4" borderId="10" xfId="2" applyNumberFormat="1" applyFont="1" applyFill="1" applyBorder="1"/>
    <xf numFmtId="166" fontId="19" fillId="0" borderId="0" xfId="2" applyNumberFormat="1" applyFont="1" applyFill="1" applyAlignment="1">
      <alignment horizontal="right"/>
    </xf>
    <xf numFmtId="43" fontId="19" fillId="0" borderId="0" xfId="2" applyFont="1" applyAlignment="1">
      <alignment horizontal="right"/>
    </xf>
    <xf numFmtId="0" fontId="18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left" vertical="center" indent="1"/>
    </xf>
    <xf numFmtId="0" fontId="19" fillId="4" borderId="0" xfId="0" applyFont="1" applyFill="1" applyAlignment="1">
      <alignment horizontal="center" vertical="center"/>
    </xf>
    <xf numFmtId="43" fontId="19" fillId="4" borderId="0" xfId="2" applyFont="1" applyFill="1" applyAlignment="1">
      <alignment horizontal="right" vertical="center"/>
    </xf>
    <xf numFmtId="0" fontId="19" fillId="4" borderId="0" xfId="0" applyFont="1" applyFill="1"/>
    <xf numFmtId="17" fontId="21" fillId="2" borderId="21" xfId="0" applyNumberFormat="1" applyFont="1" applyFill="1" applyBorder="1" applyAlignment="1">
      <alignment horizontal="left" vertical="center"/>
    </xf>
    <xf numFmtId="0" fontId="21" fillId="2" borderId="21" xfId="0" applyFont="1" applyFill="1" applyBorder="1" applyAlignment="1">
      <alignment horizontal="center" vertical="center"/>
    </xf>
    <xf numFmtId="1" fontId="21" fillId="2" borderId="21" xfId="0" applyNumberFormat="1" applyFont="1" applyFill="1" applyBorder="1" applyAlignment="1">
      <alignment horizontal="center" vertical="center"/>
    </xf>
    <xf numFmtId="17" fontId="18" fillId="4" borderId="8" xfId="0" applyNumberFormat="1" applyFont="1" applyFill="1" applyBorder="1" applyAlignment="1">
      <alignment horizontal="left" vertical="center"/>
    </xf>
    <xf numFmtId="165" fontId="19" fillId="4" borderId="10" xfId="0" applyNumberFormat="1" applyFont="1" applyFill="1" applyBorder="1"/>
    <xf numFmtId="43" fontId="19" fillId="4" borderId="10" xfId="2" applyFont="1" applyFill="1" applyBorder="1"/>
    <xf numFmtId="166" fontId="18" fillId="4" borderId="10" xfId="2" applyNumberFormat="1" applyFont="1" applyFill="1" applyBorder="1"/>
    <xf numFmtId="9" fontId="19" fillId="4" borderId="10" xfId="1" applyFont="1" applyFill="1" applyBorder="1"/>
    <xf numFmtId="43" fontId="19" fillId="0" borderId="0" xfId="2" applyFont="1"/>
    <xf numFmtId="164" fontId="19" fillId="0" borderId="0" xfId="0" applyNumberFormat="1" applyFont="1" applyFill="1"/>
    <xf numFmtId="43" fontId="18" fillId="4" borderId="10" xfId="2" applyNumberFormat="1" applyFont="1" applyFill="1" applyBorder="1"/>
    <xf numFmtId="0" fontId="24" fillId="2" borderId="2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right" vertical="center" indent="1"/>
    </xf>
    <xf numFmtId="0" fontId="24" fillId="2" borderId="4" xfId="0" applyFont="1" applyFill="1" applyBorder="1" applyAlignment="1">
      <alignment horizontal="right" vertical="center" indent="1"/>
    </xf>
    <xf numFmtId="17" fontId="25" fillId="3" borderId="5" xfId="0" applyNumberFormat="1" applyFont="1" applyFill="1" applyBorder="1" applyAlignment="1">
      <alignment horizontal="left" vertical="center"/>
    </xf>
    <xf numFmtId="17" fontId="26" fillId="4" borderId="8" xfId="0" applyNumberFormat="1" applyFont="1" applyFill="1" applyBorder="1" applyAlignment="1">
      <alignment horizontal="left" vertical="center"/>
    </xf>
    <xf numFmtId="165" fontId="15" fillId="4" borderId="10" xfId="0" applyNumberFormat="1" applyFont="1" applyFill="1" applyBorder="1"/>
    <xf numFmtId="17" fontId="26" fillId="4" borderId="17" xfId="0" applyNumberFormat="1" applyFont="1" applyFill="1" applyBorder="1" applyAlignment="1">
      <alignment horizontal="left" vertical="center"/>
    </xf>
    <xf numFmtId="165" fontId="15" fillId="4" borderId="23" xfId="0" applyNumberFormat="1" applyFont="1" applyFill="1" applyBorder="1"/>
    <xf numFmtId="17" fontId="26" fillId="4" borderId="24" xfId="0" applyNumberFormat="1" applyFont="1" applyFill="1" applyBorder="1" applyAlignment="1">
      <alignment horizontal="left" vertical="center"/>
    </xf>
    <xf numFmtId="165" fontId="15" fillId="4" borderId="22" xfId="0" applyNumberFormat="1" applyFont="1" applyFill="1" applyBorder="1"/>
    <xf numFmtId="165" fontId="15" fillId="5" borderId="10" xfId="0" applyNumberFormat="1" applyFont="1" applyFill="1" applyBorder="1"/>
    <xf numFmtId="17" fontId="27" fillId="2" borderId="21" xfId="0" applyNumberFormat="1" applyFont="1" applyFill="1" applyBorder="1" applyAlignment="1">
      <alignment horizontal="left" vertical="center"/>
    </xf>
    <xf numFmtId="165" fontId="15" fillId="6" borderId="10" xfId="0" applyNumberFormat="1" applyFont="1" applyFill="1" applyBorder="1"/>
    <xf numFmtId="17" fontId="26" fillId="6" borderId="8" xfId="0" applyNumberFormat="1" applyFont="1" applyFill="1" applyBorder="1" applyAlignment="1">
      <alignment horizontal="left" vertical="center"/>
    </xf>
    <xf numFmtId="0" fontId="9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8</xdr:row>
      <xdr:rowOff>0</xdr:rowOff>
    </xdr:from>
    <xdr:to>
      <xdr:col>15</xdr:col>
      <xdr:colOff>304800</xdr:colOff>
      <xdr:row>90</xdr:row>
      <xdr:rowOff>95249</xdr:rowOff>
    </xdr:to>
    <xdr:sp macro="" textlink="">
      <xdr:nvSpPr>
        <xdr:cNvPr id="2" name="AutoShape 1" descr="Resultado de imagen de etesa logo"/>
        <xdr:cNvSpPr>
          <a:spLocks noChangeAspect="1" noChangeArrowheads="1"/>
        </xdr:cNvSpPr>
      </xdr:nvSpPr>
      <xdr:spPr bwMode="auto">
        <a:xfrm>
          <a:off x="12534900" y="962025"/>
          <a:ext cx="304800" cy="314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1440655</xdr:colOff>
      <xdr:row>0</xdr:row>
      <xdr:rowOff>119063</xdr:rowOff>
    </xdr:from>
    <xdr:to>
      <xdr:col>1</xdr:col>
      <xdr:colOff>871536</xdr:colOff>
      <xdr:row>3</xdr:row>
      <xdr:rowOff>285750</xdr:rowOff>
    </xdr:to>
    <xdr:pic>
      <xdr:nvPicPr>
        <xdr:cNvPr id="3" name="Imagen 2" descr="http://generadoradelatlantico.com/attachments/Image/ETESA_1.jpeg?template=generi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655" y="119063"/>
          <a:ext cx="1162050" cy="833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rivera\Mis%20documentos\TARIFAS%20DE%20TRANSMISION\R&#233;gimen%202005-2009\IMP\IMP%202005-09%20(FINAL%20post%20consulta%20p&#250;blica)+MR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 Base capital completa"/>
      <sheetName val="IMP O&amp;M promedio anterior"/>
      <sheetName val="IMP tasa 12.24%"/>
      <sheetName val="Graficas"/>
      <sheetName val="IMP"/>
      <sheetName val="Hidrometeorología"/>
      <sheetName val="Activos"/>
      <sheetName val="Hoja1"/>
      <sheetName val="Bienes 2004"/>
      <sheetName val="VNR"/>
      <sheetName val="VNR Líneas"/>
      <sheetName val="Compara Valor libros-vs-VNR"/>
      <sheetName val="VNR SE"/>
      <sheetName val="Inversión-Resumen"/>
      <sheetName val="Inversiones"/>
      <sheetName val="Retiros"/>
      <sheetName val="CND"/>
      <sheetName val="Informática"/>
      <sheetName val="Hoja2"/>
      <sheetName val="RRT"/>
      <sheetName val="#¡REF"/>
      <sheetName val="IMP-Ajuste-Fechas"/>
      <sheetName val="IMP-APROBADO"/>
    </sheetNames>
    <sheetDataSet>
      <sheetData sheetId="0"/>
      <sheetData sheetId="1">
        <row r="14">
          <cell r="D14">
            <v>2000.9</v>
          </cell>
        </row>
      </sheetData>
      <sheetData sheetId="2"/>
      <sheetData sheetId="3"/>
      <sheetData sheetId="4">
        <row r="14">
          <cell r="D14">
            <v>2000.9</v>
          </cell>
        </row>
      </sheetData>
      <sheetData sheetId="5"/>
      <sheetData sheetId="6"/>
      <sheetData sheetId="7">
        <row r="14">
          <cell r="D14">
            <v>2000.9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6"/>
  <sheetViews>
    <sheetView showGridLines="0" tabSelected="1" zoomScale="80" zoomScaleNormal="80" workbookViewId="0">
      <selection activeCell="F114" sqref="F114"/>
    </sheetView>
  </sheetViews>
  <sheetFormatPr baseColWidth="10" defaultRowHeight="16.5" x14ac:dyDescent="0.3"/>
  <cols>
    <col min="1" max="1" width="26" style="2" customWidth="1"/>
    <col min="2" max="2" width="27.5703125" style="2" customWidth="1"/>
    <col min="3" max="3" width="11.7109375" style="2" bestFit="1" customWidth="1"/>
    <col min="4" max="4" width="13" style="2" bestFit="1" customWidth="1"/>
    <col min="5" max="12" width="12.5703125" style="2" bestFit="1" customWidth="1"/>
    <col min="13" max="13" width="7.140625" style="2" bestFit="1" customWidth="1"/>
    <col min="14" max="14" width="5.140625" style="2" customWidth="1"/>
    <col min="15" max="16384" width="11.42578125" style="2"/>
  </cols>
  <sheetData>
    <row r="2" spans="1:12" s="1" customFormat="1" ht="18" x14ac:dyDescent="0.2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s="1" customFormat="1" ht="18" x14ac:dyDescent="0.25">
      <c r="A3" s="97" t="s">
        <v>94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23.25" x14ac:dyDescent="0.35">
      <c r="A4" s="98" t="s">
        <v>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s="6" customFormat="1" ht="16.5" hidden="1" customHeight="1" x14ac:dyDescent="0.3">
      <c r="A5" s="3" t="s">
        <v>2</v>
      </c>
      <c r="B5" s="3" t="s">
        <v>3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5">
        <v>10</v>
      </c>
    </row>
    <row r="6" spans="1:12" s="10" customFormat="1" ht="17.25" hidden="1" customHeight="1" thickBot="1" x14ac:dyDescent="0.35">
      <c r="A6" s="7" t="s">
        <v>4</v>
      </c>
      <c r="B6" s="8"/>
      <c r="C6" s="9">
        <v>1.6020791501499569</v>
      </c>
      <c r="D6" s="9">
        <v>1.2436101852834995</v>
      </c>
      <c r="E6" s="9">
        <v>1.3586509119815615</v>
      </c>
      <c r="F6" s="9">
        <v>1.505159468015399</v>
      </c>
      <c r="G6" s="9">
        <v>0.95229479538541517</v>
      </c>
      <c r="H6" s="9">
        <v>0</v>
      </c>
      <c r="I6" s="9">
        <v>0</v>
      </c>
      <c r="J6" s="9">
        <v>0.30012112283485398</v>
      </c>
      <c r="K6" s="9">
        <v>0</v>
      </c>
      <c r="L6" s="9">
        <v>1.6129263089777401</v>
      </c>
    </row>
    <row r="7" spans="1:12" ht="18" hidden="1" customHeight="1" thickTop="1" thickBot="1" x14ac:dyDescent="0.35">
      <c r="A7" s="11" t="s">
        <v>5</v>
      </c>
      <c r="B7" s="12"/>
      <c r="C7" s="13">
        <v>1.3298315946500194</v>
      </c>
      <c r="D7" s="13">
        <v>1.6804158898659827</v>
      </c>
      <c r="E7" s="13">
        <v>1.4133947161100087</v>
      </c>
      <c r="F7" s="13">
        <v>1.3906939969329917</v>
      </c>
      <c r="G7" s="13">
        <v>2.3789420053615653</v>
      </c>
      <c r="H7" s="13">
        <v>0</v>
      </c>
      <c r="I7" s="13">
        <v>0</v>
      </c>
      <c r="J7" s="13">
        <v>0.52726335175761063</v>
      </c>
      <c r="K7" s="13">
        <v>0</v>
      </c>
      <c r="L7" s="13">
        <v>1.4858249177237741</v>
      </c>
    </row>
    <row r="8" spans="1:12" ht="18" hidden="1" customHeight="1" thickTop="1" thickBot="1" x14ac:dyDescent="0.35">
      <c r="A8" s="14" t="s">
        <v>6</v>
      </c>
      <c r="B8" s="15"/>
      <c r="C8" s="16">
        <v>1.0761492204135648</v>
      </c>
      <c r="D8" s="16">
        <v>1.6803458559669979</v>
      </c>
      <c r="E8" s="16">
        <v>1.1035949417242124</v>
      </c>
      <c r="F8" s="16">
        <v>1.1354288671613451</v>
      </c>
      <c r="G8" s="16">
        <v>2.5322843807258391</v>
      </c>
      <c r="H8" s="16">
        <v>0</v>
      </c>
      <c r="I8" s="16">
        <v>0</v>
      </c>
      <c r="J8" s="16">
        <v>0.42179025247820012</v>
      </c>
      <c r="K8" s="16">
        <v>0</v>
      </c>
      <c r="L8" s="16">
        <v>1.3402477699075637</v>
      </c>
    </row>
    <row r="9" spans="1:12" ht="18" hidden="1" customHeight="1" thickTop="1" thickBot="1" x14ac:dyDescent="0.35">
      <c r="A9" s="14" t="s">
        <v>7</v>
      </c>
      <c r="B9" s="15"/>
      <c r="C9" s="16">
        <v>1.1878564161727403</v>
      </c>
      <c r="D9" s="16">
        <v>1.8888710885747289</v>
      </c>
      <c r="E9" s="16">
        <v>1.18006853807225</v>
      </c>
      <c r="F9" s="16">
        <v>1.2859550995929889</v>
      </c>
      <c r="G9" s="16">
        <v>2.5241748115900071</v>
      </c>
      <c r="H9" s="16">
        <v>0</v>
      </c>
      <c r="I9" s="16">
        <v>0</v>
      </c>
      <c r="J9" s="16">
        <v>0.50653918486454685</v>
      </c>
      <c r="K9" s="16">
        <v>0</v>
      </c>
      <c r="L9" s="16">
        <v>1.3393419026451974</v>
      </c>
    </row>
    <row r="10" spans="1:12" ht="18" hidden="1" customHeight="1" thickTop="1" thickBot="1" x14ac:dyDescent="0.35">
      <c r="A10" s="14" t="s">
        <v>8</v>
      </c>
      <c r="B10" s="15"/>
      <c r="C10" s="16">
        <v>1.2761260908612899</v>
      </c>
      <c r="D10" s="16">
        <v>1.5456361741132614</v>
      </c>
      <c r="E10" s="16">
        <v>1.2522841282139789</v>
      </c>
      <c r="F10" s="16">
        <v>1.274864458610883</v>
      </c>
      <c r="G10" s="16">
        <v>2.6794139521185554</v>
      </c>
      <c r="H10" s="16">
        <v>0</v>
      </c>
      <c r="I10" s="16">
        <v>0</v>
      </c>
      <c r="J10" s="16">
        <v>0.55045530709499824</v>
      </c>
      <c r="K10" s="16">
        <v>0</v>
      </c>
      <c r="L10" s="16">
        <v>1.4636873100695555</v>
      </c>
    </row>
    <row r="11" spans="1:12" ht="18" hidden="1" customHeight="1" thickTop="1" thickBot="1" x14ac:dyDescent="0.35">
      <c r="A11" s="14" t="s">
        <v>9</v>
      </c>
      <c r="B11" s="15"/>
      <c r="C11" s="16">
        <v>1.7144928546382139</v>
      </c>
      <c r="D11" s="16">
        <v>1.2394636621946411</v>
      </c>
      <c r="E11" s="16">
        <v>1.3670883546892409</v>
      </c>
      <c r="F11" s="16">
        <v>1.9688601271857691</v>
      </c>
      <c r="G11" s="16">
        <v>2.9186907992909794</v>
      </c>
      <c r="H11" s="16">
        <v>0</v>
      </c>
      <c r="I11" s="16">
        <v>0</v>
      </c>
      <c r="J11" s="16">
        <v>0.55873505330749595</v>
      </c>
      <c r="K11" s="16">
        <v>0</v>
      </c>
      <c r="L11" s="16">
        <v>1.9329943718596654</v>
      </c>
    </row>
    <row r="12" spans="1:12" ht="17.25" hidden="1" customHeight="1" thickTop="1" x14ac:dyDescent="0.3">
      <c r="A12" s="17" t="s">
        <v>10</v>
      </c>
      <c r="B12" s="18"/>
      <c r="C12" s="19">
        <v>1.6772522990102507</v>
      </c>
      <c r="D12" s="19">
        <v>1.159423549805682</v>
      </c>
      <c r="E12" s="19">
        <v>1.072016765456369</v>
      </c>
      <c r="F12" s="19">
        <v>1.7462635663311077</v>
      </c>
      <c r="G12" s="19">
        <v>1.3270560764266504</v>
      </c>
      <c r="H12" s="19">
        <v>0</v>
      </c>
      <c r="I12" s="19">
        <v>0</v>
      </c>
      <c r="J12" s="19">
        <v>0.30902468239711928</v>
      </c>
      <c r="K12" s="19">
        <v>0</v>
      </c>
      <c r="L12" s="19">
        <v>2.2428563907401577</v>
      </c>
    </row>
    <row r="13" spans="1:12" ht="16.5" hidden="1" customHeight="1" x14ac:dyDescent="0.3"/>
    <row r="14" spans="1:12" ht="7.5" hidden="1" customHeight="1" thickBot="1" x14ac:dyDescent="0.35"/>
    <row r="15" spans="1:12" ht="21" hidden="1" customHeight="1" thickTop="1" x14ac:dyDescent="0.3">
      <c r="A15" s="96" t="s">
        <v>11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</row>
    <row r="16" spans="1:12" s="6" customFormat="1" ht="16.5" hidden="1" customHeight="1" x14ac:dyDescent="0.3">
      <c r="A16" s="3" t="s">
        <v>12</v>
      </c>
      <c r="B16" s="3" t="s">
        <v>3</v>
      </c>
      <c r="C16" s="4">
        <v>1</v>
      </c>
      <c r="D16" s="4">
        <v>2</v>
      </c>
      <c r="E16" s="4">
        <v>3</v>
      </c>
      <c r="F16" s="4">
        <v>4</v>
      </c>
      <c r="G16" s="4">
        <v>5</v>
      </c>
      <c r="H16" s="4">
        <v>6</v>
      </c>
      <c r="I16" s="4">
        <v>7</v>
      </c>
      <c r="J16" s="4">
        <v>8</v>
      </c>
      <c r="K16" s="4">
        <v>9</v>
      </c>
      <c r="L16" s="4">
        <v>10</v>
      </c>
    </row>
    <row r="17" spans="1:14" s="10" customFormat="1" ht="17.25" hidden="1" customHeight="1" thickBot="1" x14ac:dyDescent="0.35">
      <c r="A17" s="7" t="s">
        <v>4</v>
      </c>
      <c r="B17" s="8"/>
      <c r="C17" s="20">
        <v>1.3927786326786651</v>
      </c>
      <c r="D17" s="20">
        <v>1.1894333468436693</v>
      </c>
      <c r="E17" s="20">
        <v>1.769726094046318</v>
      </c>
      <c r="F17" s="20">
        <v>1.2871206022590087</v>
      </c>
      <c r="G17" s="20">
        <v>2.2062304799407961</v>
      </c>
      <c r="H17" s="20">
        <v>0</v>
      </c>
      <c r="I17" s="20">
        <v>0</v>
      </c>
      <c r="J17" s="20">
        <v>0.27247548182259457</v>
      </c>
      <c r="K17" s="20">
        <v>0</v>
      </c>
      <c r="L17" s="20">
        <v>2.2078328878564863</v>
      </c>
      <c r="M17" s="21"/>
    </row>
    <row r="18" spans="1:14" ht="18" hidden="1" customHeight="1" thickTop="1" thickBot="1" x14ac:dyDescent="0.35">
      <c r="A18" s="11" t="s">
        <v>13</v>
      </c>
      <c r="B18" s="12"/>
      <c r="C18" s="13">
        <v>1.6258815189933378</v>
      </c>
      <c r="D18" s="13">
        <v>1.9794556920393984</v>
      </c>
      <c r="E18" s="13">
        <v>1.5147510707437672</v>
      </c>
      <c r="F18" s="13">
        <v>1.4207290548702882</v>
      </c>
      <c r="G18" s="13">
        <v>0.48471772791236772</v>
      </c>
      <c r="H18" s="13">
        <v>0</v>
      </c>
      <c r="I18" s="13">
        <v>0</v>
      </c>
      <c r="J18" s="13">
        <v>0.40976370479373231</v>
      </c>
      <c r="K18" s="13">
        <v>0</v>
      </c>
      <c r="L18" s="13">
        <v>2.7504826662912496</v>
      </c>
      <c r="M18" s="21"/>
    </row>
    <row r="19" spans="1:14" ht="18" hidden="1" customHeight="1" thickTop="1" thickBot="1" x14ac:dyDescent="0.35">
      <c r="A19" s="14" t="s">
        <v>14</v>
      </c>
      <c r="B19" s="15"/>
      <c r="C19" s="16">
        <v>1.7826592192545794</v>
      </c>
      <c r="D19" s="16">
        <v>2.1378510101905945</v>
      </c>
      <c r="E19" s="16">
        <v>1.5032476659398621</v>
      </c>
      <c r="F19" s="16">
        <v>1.2481103679688856</v>
      </c>
      <c r="G19" s="16">
        <v>0.20118460799731067</v>
      </c>
      <c r="H19" s="16">
        <v>0</v>
      </c>
      <c r="I19" s="16">
        <v>0</v>
      </c>
      <c r="J19" s="16">
        <v>0.39569723277708746</v>
      </c>
      <c r="K19" s="16">
        <v>0</v>
      </c>
      <c r="L19" s="16">
        <v>2.2543186456351374</v>
      </c>
      <c r="M19" s="21"/>
    </row>
    <row r="20" spans="1:14" ht="18" hidden="1" customHeight="1" thickTop="1" thickBot="1" x14ac:dyDescent="0.35">
      <c r="A20" s="14" t="s">
        <v>15</v>
      </c>
      <c r="B20" s="15"/>
      <c r="C20" s="16">
        <v>2.5814113598699353</v>
      </c>
      <c r="D20" s="16">
        <v>1.6157113251471944</v>
      </c>
      <c r="E20" s="16">
        <v>2.044622796586494</v>
      </c>
      <c r="F20" s="16">
        <v>1.9159266160238342</v>
      </c>
      <c r="G20" s="16">
        <v>0.24386167591655883</v>
      </c>
      <c r="H20" s="16">
        <v>0</v>
      </c>
      <c r="I20" s="16">
        <v>0</v>
      </c>
      <c r="J20" s="16">
        <v>0.38307086883625191</v>
      </c>
      <c r="K20" s="16">
        <v>0</v>
      </c>
      <c r="L20" s="16">
        <v>2.3999234013895117</v>
      </c>
      <c r="M20" s="21"/>
    </row>
    <row r="21" spans="1:14" ht="18" hidden="1" customHeight="1" thickTop="1" thickBot="1" x14ac:dyDescent="0.35">
      <c r="A21" s="14" t="s">
        <v>16</v>
      </c>
      <c r="B21" s="15"/>
      <c r="C21" s="16">
        <v>2.8775307250221864</v>
      </c>
      <c r="D21" s="16">
        <v>1.7154087483073617</v>
      </c>
      <c r="E21" s="16">
        <v>2.2272565132438613</v>
      </c>
      <c r="F21" s="16">
        <v>2.3096643264128365</v>
      </c>
      <c r="G21" s="16">
        <v>0.27311410737256431</v>
      </c>
      <c r="H21" s="16">
        <v>0</v>
      </c>
      <c r="I21" s="16">
        <v>0</v>
      </c>
      <c r="J21" s="16">
        <v>0.43270374833019704</v>
      </c>
      <c r="K21" s="16">
        <v>0</v>
      </c>
      <c r="L21" s="16">
        <v>2.755275195827493</v>
      </c>
      <c r="M21" s="21"/>
    </row>
    <row r="22" spans="1:14" ht="18" hidden="1" customHeight="1" thickTop="1" thickBot="1" x14ac:dyDescent="0.35">
      <c r="A22" s="14" t="s">
        <v>17</v>
      </c>
      <c r="B22" s="15"/>
      <c r="C22" s="16">
        <v>2.302568524503771</v>
      </c>
      <c r="D22" s="16">
        <v>2.1052205228390615</v>
      </c>
      <c r="E22" s="16">
        <v>1.8274548920312645</v>
      </c>
      <c r="F22" s="16">
        <v>1.9995444120756176</v>
      </c>
      <c r="G22" s="16">
        <v>0.33202432043510433</v>
      </c>
      <c r="H22" s="16">
        <v>0</v>
      </c>
      <c r="I22" s="16">
        <v>0</v>
      </c>
      <c r="J22" s="16">
        <v>0.39548721675442466</v>
      </c>
      <c r="K22" s="16">
        <v>0</v>
      </c>
      <c r="L22" s="16">
        <v>2.4663072086106435</v>
      </c>
      <c r="M22" s="21"/>
    </row>
    <row r="23" spans="1:14" ht="18" hidden="1" customHeight="1" thickTop="1" thickBot="1" x14ac:dyDescent="0.35">
      <c r="A23" s="14" t="s">
        <v>18</v>
      </c>
      <c r="B23" s="15"/>
      <c r="C23" s="16">
        <v>1.5622023140442312</v>
      </c>
      <c r="D23" s="16">
        <v>2.3494729678919146</v>
      </c>
      <c r="E23" s="16">
        <v>1.7569867696240375</v>
      </c>
      <c r="F23" s="16">
        <v>1.7234801433792852</v>
      </c>
      <c r="G23" s="16">
        <v>0.3918073247291296</v>
      </c>
      <c r="H23" s="16">
        <v>0</v>
      </c>
      <c r="I23" s="16">
        <v>0</v>
      </c>
      <c r="J23" s="16">
        <v>0.43913597637877977</v>
      </c>
      <c r="K23" s="16">
        <v>0</v>
      </c>
      <c r="L23" s="16">
        <v>2.1582606435454057</v>
      </c>
      <c r="M23" s="21"/>
    </row>
    <row r="24" spans="1:14" ht="17.25" hidden="1" customHeight="1" thickTop="1" x14ac:dyDescent="0.3"/>
    <row r="25" spans="1:14" ht="16.5" hidden="1" customHeight="1" x14ac:dyDescent="0.3">
      <c r="A25" s="3" t="s">
        <v>19</v>
      </c>
      <c r="B25" s="22" t="s">
        <v>3</v>
      </c>
      <c r="C25" s="23">
        <v>1</v>
      </c>
      <c r="D25" s="23">
        <v>2</v>
      </c>
      <c r="E25" s="23">
        <v>3</v>
      </c>
      <c r="F25" s="23">
        <v>4</v>
      </c>
      <c r="G25" s="23">
        <v>5</v>
      </c>
      <c r="H25" s="23">
        <v>6</v>
      </c>
      <c r="I25" s="23">
        <v>7</v>
      </c>
      <c r="J25" s="23">
        <v>8</v>
      </c>
      <c r="K25" s="23">
        <v>9</v>
      </c>
      <c r="L25" s="23">
        <v>10</v>
      </c>
    </row>
    <row r="26" spans="1:14" ht="17.25" hidden="1" customHeight="1" thickBot="1" x14ac:dyDescent="0.35">
      <c r="A26" s="24" t="s">
        <v>4</v>
      </c>
      <c r="B26" s="25"/>
      <c r="C26" s="20">
        <v>1.3927786326786651</v>
      </c>
      <c r="D26" s="20">
        <v>1.1894333468436693</v>
      </c>
      <c r="E26" s="20">
        <v>1.769726094046318</v>
      </c>
      <c r="F26" s="20">
        <v>1.2871206022590087</v>
      </c>
      <c r="G26" s="20">
        <v>2.2062304799407961</v>
      </c>
      <c r="H26" s="20">
        <v>0</v>
      </c>
      <c r="I26" s="20">
        <v>0</v>
      </c>
      <c r="J26" s="20">
        <v>0.27247548182259457</v>
      </c>
      <c r="K26" s="20">
        <v>0</v>
      </c>
      <c r="L26" s="20">
        <v>2.2078328878564863</v>
      </c>
      <c r="M26" s="26"/>
    </row>
    <row r="27" spans="1:14" ht="18" hidden="1" customHeight="1" thickTop="1" thickBot="1" x14ac:dyDescent="0.35">
      <c r="A27" s="11" t="s">
        <v>20</v>
      </c>
      <c r="B27" s="12"/>
      <c r="C27" s="13">
        <v>0.8685057746283037</v>
      </c>
      <c r="D27" s="13">
        <v>2.0071752746833962</v>
      </c>
      <c r="E27" s="13">
        <v>1.35407610385329</v>
      </c>
      <c r="F27" s="13">
        <v>1.0157381428481518</v>
      </c>
      <c r="G27" s="13">
        <v>0.79784457273790033</v>
      </c>
      <c r="H27" s="13">
        <v>0</v>
      </c>
      <c r="I27" s="13">
        <v>0</v>
      </c>
      <c r="J27" s="13">
        <v>0.1503615821651294</v>
      </c>
      <c r="K27" s="13">
        <v>0</v>
      </c>
      <c r="L27" s="13">
        <v>1.9348225702369573</v>
      </c>
      <c r="M27" s="26"/>
    </row>
    <row r="28" spans="1:14" ht="18" hidden="1" customHeight="1" thickTop="1" thickBot="1" x14ac:dyDescent="0.35">
      <c r="A28" s="11" t="s">
        <v>21</v>
      </c>
      <c r="B28" s="12"/>
      <c r="C28" s="13">
        <v>0.76592273554843404</v>
      </c>
      <c r="D28" s="13">
        <v>1.7587593817865996</v>
      </c>
      <c r="E28" s="13">
        <v>1.0672909641867512</v>
      </c>
      <c r="F28" s="13">
        <v>0.93362338233792208</v>
      </c>
      <c r="G28" s="13">
        <v>1.9554248248551931</v>
      </c>
      <c r="H28" s="13">
        <v>0</v>
      </c>
      <c r="I28" s="13">
        <v>0</v>
      </c>
      <c r="J28" s="13">
        <v>0.27085477724761425</v>
      </c>
      <c r="K28" s="13">
        <v>0</v>
      </c>
      <c r="L28" s="13">
        <v>1.7468350906505996</v>
      </c>
      <c r="M28" s="26"/>
    </row>
    <row r="29" spans="1:14" ht="18" hidden="1" customHeight="1" thickTop="1" thickBot="1" x14ac:dyDescent="0.35">
      <c r="A29" s="11" t="s">
        <v>22</v>
      </c>
      <c r="B29" s="12"/>
      <c r="C29" s="13">
        <v>0.81919911496398057</v>
      </c>
      <c r="D29" s="13">
        <v>2.2484383385268347</v>
      </c>
      <c r="E29" s="13">
        <v>0.8527233817291443</v>
      </c>
      <c r="F29" s="13">
        <v>0.96794816568947273</v>
      </c>
      <c r="G29" s="13">
        <v>3.8723378067571441</v>
      </c>
      <c r="H29" s="13">
        <v>0</v>
      </c>
      <c r="I29" s="13">
        <v>0</v>
      </c>
      <c r="J29" s="13">
        <v>0.27705341201448713</v>
      </c>
      <c r="K29" s="13">
        <v>0</v>
      </c>
      <c r="L29" s="13">
        <v>1.7002485679962918</v>
      </c>
      <c r="M29" s="26"/>
    </row>
    <row r="30" spans="1:14" ht="18" hidden="1" customHeight="1" thickTop="1" thickBot="1" x14ac:dyDescent="0.35">
      <c r="A30" s="11" t="s">
        <v>23</v>
      </c>
      <c r="B30" s="12"/>
      <c r="C30" s="13">
        <v>0.80092389439495471</v>
      </c>
      <c r="D30" s="13">
        <v>2.1152683505271108</v>
      </c>
      <c r="E30" s="13">
        <v>0.94497737377905733</v>
      </c>
      <c r="F30" s="13">
        <v>0.89672151438070891</v>
      </c>
      <c r="G30" s="13">
        <v>4.0022392579714268</v>
      </c>
      <c r="H30" s="13">
        <v>0</v>
      </c>
      <c r="I30" s="13">
        <v>0</v>
      </c>
      <c r="J30" s="13">
        <v>0.27735789628064095</v>
      </c>
      <c r="K30" s="13">
        <v>0</v>
      </c>
      <c r="L30" s="13">
        <v>1.2545687638264884</v>
      </c>
      <c r="M30" s="26"/>
    </row>
    <row r="31" spans="1:14" ht="18" hidden="1" customHeight="1" thickTop="1" thickBot="1" x14ac:dyDescent="0.35">
      <c r="A31" s="11" t="s">
        <v>24</v>
      </c>
      <c r="B31" s="12"/>
      <c r="C31" s="13">
        <v>1.0026319409726701</v>
      </c>
      <c r="D31" s="13">
        <v>1.4534499922734143</v>
      </c>
      <c r="E31" s="13">
        <v>1.0510633690508138</v>
      </c>
      <c r="F31" s="13">
        <v>1.2029320462181272</v>
      </c>
      <c r="G31" s="13">
        <v>3.821563296449999</v>
      </c>
      <c r="H31" s="13">
        <v>0</v>
      </c>
      <c r="I31" s="13">
        <v>0</v>
      </c>
      <c r="J31" s="13">
        <v>0.27946393601102559</v>
      </c>
      <c r="K31" s="13">
        <v>0</v>
      </c>
      <c r="L31" s="13">
        <v>2.2239415667295068</v>
      </c>
      <c r="M31" s="26"/>
      <c r="N31" s="27"/>
    </row>
    <row r="32" spans="1:14" ht="18" hidden="1" customHeight="1" thickTop="1" thickBot="1" x14ac:dyDescent="0.35">
      <c r="A32" s="11" t="s">
        <v>25</v>
      </c>
      <c r="B32" s="12"/>
      <c r="C32" s="13">
        <v>1.3986653721038318</v>
      </c>
      <c r="D32" s="13">
        <v>1.5885740462960212</v>
      </c>
      <c r="E32" s="13">
        <v>1.430032044790442</v>
      </c>
      <c r="F32" s="13">
        <v>1.5772270769301711</v>
      </c>
      <c r="G32" s="13">
        <v>3.3293593726357149</v>
      </c>
      <c r="H32" s="13">
        <v>0</v>
      </c>
      <c r="I32" s="13">
        <v>0</v>
      </c>
      <c r="J32" s="13">
        <v>0.27403219949679486</v>
      </c>
      <c r="K32" s="13">
        <v>0</v>
      </c>
      <c r="L32" s="13">
        <v>2.8635351810707386</v>
      </c>
    </row>
    <row r="33" spans="1:13" ht="18" hidden="1" customHeight="1" thickTop="1" thickBot="1" x14ac:dyDescent="0.35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1:13" ht="21" hidden="1" customHeight="1" thickTop="1" x14ac:dyDescent="0.3">
      <c r="A34" s="96" t="s">
        <v>26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1:13" ht="16.5" hidden="1" customHeight="1" x14ac:dyDescent="0.3">
      <c r="A35" s="3" t="s">
        <v>27</v>
      </c>
      <c r="B35" s="3" t="s">
        <v>3</v>
      </c>
      <c r="C35" s="4">
        <v>1</v>
      </c>
      <c r="D35" s="4">
        <v>2</v>
      </c>
      <c r="E35" s="4">
        <v>3</v>
      </c>
      <c r="F35" s="4">
        <v>4</v>
      </c>
      <c r="G35" s="4">
        <v>5</v>
      </c>
      <c r="H35" s="4">
        <v>6</v>
      </c>
      <c r="I35" s="4">
        <v>7</v>
      </c>
      <c r="J35" s="4">
        <v>8</v>
      </c>
      <c r="K35" s="4">
        <v>9</v>
      </c>
      <c r="L35" s="4">
        <v>10</v>
      </c>
    </row>
    <row r="36" spans="1:13" ht="17.25" hidden="1" customHeight="1" thickBot="1" x14ac:dyDescent="0.35">
      <c r="A36" s="24" t="s">
        <v>4</v>
      </c>
      <c r="B36" s="25"/>
      <c r="C36" s="20">
        <v>1.0009084617530919</v>
      </c>
      <c r="D36" s="20">
        <v>1.5883327861576866</v>
      </c>
      <c r="E36" s="20">
        <v>1.4434687630556775</v>
      </c>
      <c r="F36" s="20">
        <v>1.1156802559307453</v>
      </c>
      <c r="G36" s="20">
        <v>2.3165091347290461</v>
      </c>
      <c r="H36" s="20">
        <v>0</v>
      </c>
      <c r="I36" s="20">
        <v>0</v>
      </c>
      <c r="J36" s="20">
        <v>0.36979216149740379</v>
      </c>
      <c r="K36" s="20">
        <v>0</v>
      </c>
      <c r="L36" s="20">
        <v>1.909007523440494</v>
      </c>
      <c r="M36" s="26"/>
    </row>
    <row r="37" spans="1:13" ht="16.5" hidden="1" customHeight="1" thickTop="1" thickBot="1" x14ac:dyDescent="0.35">
      <c r="A37" s="11" t="s">
        <v>28</v>
      </c>
      <c r="B37" s="12"/>
      <c r="C37" s="13">
        <v>1.6550386992015595</v>
      </c>
      <c r="D37" s="13">
        <v>2.150408341964448</v>
      </c>
      <c r="E37" s="13">
        <v>1.4933407788983537</v>
      </c>
      <c r="F37" s="13">
        <v>0.80196519652668519</v>
      </c>
      <c r="G37" s="13">
        <v>2.9096712794077977</v>
      </c>
      <c r="H37" s="13">
        <v>0</v>
      </c>
      <c r="I37" s="13">
        <v>0</v>
      </c>
      <c r="J37" s="13">
        <v>0.3358581508390785</v>
      </c>
      <c r="K37" s="13">
        <v>0</v>
      </c>
      <c r="L37" s="13">
        <v>3.6147249658501392</v>
      </c>
      <c r="M37" s="26"/>
    </row>
    <row r="38" spans="1:13" ht="18" hidden="1" customHeight="1" thickTop="1" thickBot="1" x14ac:dyDescent="0.35">
      <c r="A38" s="11" t="s">
        <v>29</v>
      </c>
      <c r="B38" s="12"/>
      <c r="C38" s="13">
        <v>1.5456629334951419</v>
      </c>
      <c r="D38" s="13">
        <v>2.5689984824435297</v>
      </c>
      <c r="E38" s="13">
        <v>1.2842988876245234</v>
      </c>
      <c r="F38" s="13">
        <v>0.68564932207109242</v>
      </c>
      <c r="G38" s="13">
        <v>4.2903335980202879</v>
      </c>
      <c r="H38" s="13">
        <v>0</v>
      </c>
      <c r="I38" s="13">
        <v>0</v>
      </c>
      <c r="J38" s="13">
        <v>0.39714965116099299</v>
      </c>
      <c r="K38" s="13">
        <v>0</v>
      </c>
      <c r="L38" s="13">
        <v>3.1292115629680439</v>
      </c>
    </row>
    <row r="39" spans="1:13" ht="18" hidden="1" customHeight="1" thickTop="1" thickBot="1" x14ac:dyDescent="0.35">
      <c r="A39" s="11" t="s">
        <v>30</v>
      </c>
      <c r="B39" s="12"/>
      <c r="C39" s="13">
        <v>1.9134554034466926</v>
      </c>
      <c r="D39" s="13">
        <v>2.5186236286906403</v>
      </c>
      <c r="E39" s="13">
        <v>1.3755242529263705</v>
      </c>
      <c r="F39" s="13">
        <v>1.7467636043063888</v>
      </c>
      <c r="G39" s="13">
        <v>2.3401821507240315</v>
      </c>
      <c r="H39" s="13">
        <v>0</v>
      </c>
      <c r="I39" s="13">
        <v>0</v>
      </c>
      <c r="J39" s="13">
        <v>0.42716652740017058</v>
      </c>
      <c r="K39" s="13">
        <v>0</v>
      </c>
      <c r="L39" s="13">
        <v>2.0393588856611795</v>
      </c>
    </row>
    <row r="40" spans="1:13" ht="18" hidden="1" customHeight="1" thickTop="1" thickBot="1" x14ac:dyDescent="0.35">
      <c r="A40" s="11" t="s">
        <v>31</v>
      </c>
      <c r="B40" s="12"/>
      <c r="C40" s="13">
        <v>2.430395005885579</v>
      </c>
      <c r="D40" s="13">
        <v>1.941518420615987</v>
      </c>
      <c r="E40" s="13">
        <v>1.8956208000530475</v>
      </c>
      <c r="F40" s="13">
        <v>2.6035824701716503</v>
      </c>
      <c r="G40" s="13">
        <v>2.9034912424233164</v>
      </c>
      <c r="H40" s="13">
        <v>0</v>
      </c>
      <c r="I40" s="13">
        <v>0</v>
      </c>
      <c r="J40" s="13">
        <v>0.42795240755625791</v>
      </c>
      <c r="K40" s="13">
        <v>0</v>
      </c>
      <c r="L40" s="13">
        <v>2.2517654544501209</v>
      </c>
    </row>
    <row r="41" spans="1:13" ht="18" hidden="1" customHeight="1" thickTop="1" thickBot="1" x14ac:dyDescent="0.35">
      <c r="A41" s="11" t="s">
        <v>32</v>
      </c>
      <c r="B41" s="12"/>
      <c r="C41" s="13">
        <v>1.6812752456529831</v>
      </c>
      <c r="D41" s="13">
        <v>1.0510949679240238</v>
      </c>
      <c r="E41" s="13">
        <v>1.6261124857075966</v>
      </c>
      <c r="F41" s="13">
        <v>1.705177176360879</v>
      </c>
      <c r="G41" s="13">
        <v>1.8388613170931891</v>
      </c>
      <c r="H41" s="13">
        <v>0</v>
      </c>
      <c r="I41" s="13">
        <v>0</v>
      </c>
      <c r="J41" s="13">
        <v>0.31333707639379493</v>
      </c>
      <c r="K41" s="13">
        <v>0</v>
      </c>
      <c r="L41" s="13">
        <v>2.0380073748530396</v>
      </c>
      <c r="M41" s="26"/>
    </row>
    <row r="42" spans="1:13" ht="18" hidden="1" customHeight="1" thickTop="1" thickBot="1" x14ac:dyDescent="0.35">
      <c r="A42" s="11" t="s">
        <v>33</v>
      </c>
      <c r="B42" s="12"/>
      <c r="C42" s="13">
        <v>1.1345960489152545</v>
      </c>
      <c r="D42" s="13">
        <v>1.4874147689101525</v>
      </c>
      <c r="E42" s="13">
        <v>1.2875687172985144</v>
      </c>
      <c r="F42" s="13">
        <v>1.3958516772401326</v>
      </c>
      <c r="G42" s="13">
        <v>3.9671049012063024</v>
      </c>
      <c r="H42" s="13">
        <v>0</v>
      </c>
      <c r="I42" s="13">
        <v>0</v>
      </c>
      <c r="J42" s="13">
        <v>0.32352356732791032</v>
      </c>
      <c r="K42" s="13">
        <v>0</v>
      </c>
      <c r="L42" s="13">
        <v>1.929675182779816</v>
      </c>
    </row>
    <row r="43" spans="1:13" ht="17.25" hidden="1" customHeight="1" thickTop="1" x14ac:dyDescent="0.3"/>
    <row r="44" spans="1:13" ht="16.5" hidden="1" customHeight="1" x14ac:dyDescent="0.3">
      <c r="A44" s="3" t="s">
        <v>34</v>
      </c>
      <c r="B44" s="3" t="s">
        <v>3</v>
      </c>
      <c r="C44" s="4">
        <v>1</v>
      </c>
      <c r="D44" s="4">
        <v>2</v>
      </c>
      <c r="E44" s="4">
        <v>3</v>
      </c>
      <c r="F44" s="4">
        <v>4</v>
      </c>
      <c r="G44" s="4">
        <v>5</v>
      </c>
      <c r="H44" s="4">
        <v>6</v>
      </c>
      <c r="I44" s="4">
        <v>7</v>
      </c>
      <c r="J44" s="4">
        <v>8</v>
      </c>
      <c r="K44" s="4">
        <v>9</v>
      </c>
      <c r="L44" s="4">
        <v>10</v>
      </c>
    </row>
    <row r="45" spans="1:13" ht="17.25" hidden="1" customHeight="1" thickBot="1" x14ac:dyDescent="0.35">
      <c r="A45" s="24" t="s">
        <v>4</v>
      </c>
      <c r="B45" s="25"/>
      <c r="C45" s="20">
        <v>1.0009084617530919</v>
      </c>
      <c r="D45" s="20">
        <v>1.5883327861576866</v>
      </c>
      <c r="E45" s="20">
        <v>1.4434687630556775</v>
      </c>
      <c r="F45" s="20">
        <v>1.1156802559307453</v>
      </c>
      <c r="G45" s="20">
        <v>2.3165091347290461</v>
      </c>
      <c r="H45" s="20">
        <v>0</v>
      </c>
      <c r="I45" s="20">
        <v>0</v>
      </c>
      <c r="J45" s="20">
        <v>0.36979216149740379</v>
      </c>
      <c r="K45" s="20">
        <v>0</v>
      </c>
      <c r="L45" s="20">
        <v>1.909007523440494</v>
      </c>
    </row>
    <row r="46" spans="1:13" ht="18" hidden="1" customHeight="1" thickTop="1" thickBot="1" x14ac:dyDescent="0.35">
      <c r="A46" s="11" t="s">
        <v>35</v>
      </c>
      <c r="B46" s="12"/>
      <c r="C46" s="13">
        <v>1.0065171788156331</v>
      </c>
      <c r="D46" s="13">
        <v>1.5105979417985151</v>
      </c>
      <c r="E46" s="13">
        <v>1.2802404184445344</v>
      </c>
      <c r="F46" s="13">
        <v>1.396516648268499</v>
      </c>
      <c r="G46" s="13">
        <v>6.4314703345626576</v>
      </c>
      <c r="H46" s="13">
        <v>0</v>
      </c>
      <c r="I46" s="13">
        <v>0</v>
      </c>
      <c r="J46" s="13">
        <v>0.48399416169000481</v>
      </c>
      <c r="K46" s="13">
        <v>0</v>
      </c>
      <c r="L46" s="13">
        <v>1.4445208798665534</v>
      </c>
    </row>
    <row r="47" spans="1:13" ht="18" hidden="1" customHeight="1" thickTop="1" thickBot="1" x14ac:dyDescent="0.35">
      <c r="A47" s="11" t="s">
        <v>36</v>
      </c>
      <c r="B47" s="12"/>
      <c r="C47" s="13">
        <v>0.80147514532055786</v>
      </c>
      <c r="D47" s="13">
        <v>1.4309823139010818</v>
      </c>
      <c r="E47" s="13">
        <v>1.168207765100117</v>
      </c>
      <c r="F47" s="13">
        <v>1.0277662856700733</v>
      </c>
      <c r="G47" s="13">
        <v>5.6672652818957276</v>
      </c>
      <c r="H47" s="13">
        <v>0</v>
      </c>
      <c r="I47" s="13">
        <v>0</v>
      </c>
      <c r="J47" s="13">
        <v>0.30023676101482183</v>
      </c>
      <c r="K47" s="13">
        <v>0</v>
      </c>
      <c r="L47" s="13">
        <v>1.7757018368431683</v>
      </c>
    </row>
    <row r="48" spans="1:13" ht="18" hidden="1" customHeight="1" thickTop="1" thickBot="1" x14ac:dyDescent="0.35">
      <c r="A48" s="11" t="s">
        <v>37</v>
      </c>
      <c r="B48" s="12"/>
      <c r="C48" s="13">
        <v>0.77992648259152553</v>
      </c>
      <c r="D48" s="13">
        <v>1.7011317828308397</v>
      </c>
      <c r="E48" s="13">
        <v>1.0108727034494116</v>
      </c>
      <c r="F48" s="13">
        <v>0.82301718979581562</v>
      </c>
      <c r="G48" s="13">
        <v>6.4976788025288119</v>
      </c>
      <c r="H48" s="13">
        <v>0</v>
      </c>
      <c r="I48" s="13">
        <v>0</v>
      </c>
      <c r="J48" s="13">
        <v>0.37490767638217948</v>
      </c>
      <c r="K48" s="13">
        <v>0</v>
      </c>
      <c r="L48" s="13">
        <v>1.139754871613714</v>
      </c>
    </row>
    <row r="49" spans="1:13" ht="18" hidden="1" customHeight="1" thickTop="1" thickBot="1" x14ac:dyDescent="0.35">
      <c r="A49" s="11" t="s">
        <v>38</v>
      </c>
      <c r="B49" s="12"/>
      <c r="C49" s="13">
        <v>0.83226456132994775</v>
      </c>
      <c r="D49" s="13">
        <v>1.5541667334952383</v>
      </c>
      <c r="E49" s="13">
        <v>0.90733658698423847</v>
      </c>
      <c r="F49" s="13">
        <v>0.88363389144755089</v>
      </c>
      <c r="G49" s="13">
        <v>4.2080230558685905</v>
      </c>
      <c r="H49" s="13">
        <v>0</v>
      </c>
      <c r="I49" s="13">
        <v>0</v>
      </c>
      <c r="J49" s="13">
        <v>0.43157632236935223</v>
      </c>
      <c r="K49" s="13">
        <v>0</v>
      </c>
      <c r="L49" s="13">
        <v>1.2057052920133307</v>
      </c>
    </row>
    <row r="50" spans="1:13" ht="18" hidden="1" customHeight="1" thickTop="1" thickBot="1" x14ac:dyDescent="0.35">
      <c r="A50" s="11" t="s">
        <v>39</v>
      </c>
      <c r="B50" s="12"/>
      <c r="C50" s="13">
        <v>0.97115578733898311</v>
      </c>
      <c r="D50" s="13">
        <v>1.4890012390126817</v>
      </c>
      <c r="E50" s="13">
        <v>1.1909517714851741</v>
      </c>
      <c r="F50" s="13">
        <v>1.1687774530499628</v>
      </c>
      <c r="G50" s="13">
        <v>4.1328156068763082</v>
      </c>
      <c r="H50" s="13">
        <v>0</v>
      </c>
      <c r="I50" s="13">
        <v>0</v>
      </c>
      <c r="J50" s="13">
        <v>0.35148130940283334</v>
      </c>
      <c r="K50" s="13">
        <v>0</v>
      </c>
      <c r="L50" s="13">
        <v>1.609434316859589</v>
      </c>
    </row>
    <row r="51" spans="1:13" ht="18" hidden="1" customHeight="1" thickTop="1" thickBot="1" x14ac:dyDescent="0.35">
      <c r="A51" s="11" t="s">
        <v>40</v>
      </c>
      <c r="B51" s="12"/>
      <c r="C51" s="13">
        <v>2.62718743817498</v>
      </c>
      <c r="D51" s="13">
        <v>2.3839471005378949</v>
      </c>
      <c r="E51" s="13">
        <v>3.4615563927306887</v>
      </c>
      <c r="F51" s="13">
        <v>2.7277771203930286</v>
      </c>
      <c r="G51" s="13">
        <v>5.2645722410338465</v>
      </c>
      <c r="H51" s="13">
        <v>0</v>
      </c>
      <c r="I51" s="13">
        <v>0</v>
      </c>
      <c r="J51" s="13">
        <v>0.32494449096610256</v>
      </c>
      <c r="K51" s="13">
        <v>0</v>
      </c>
      <c r="L51" s="13">
        <v>4.1942881214944565</v>
      </c>
    </row>
    <row r="52" spans="1:13" ht="18" hidden="1" customHeight="1" thickTop="1" thickBot="1" x14ac:dyDescent="0.35"/>
    <row r="53" spans="1:13" ht="21" hidden="1" customHeight="1" thickTop="1" x14ac:dyDescent="0.3">
      <c r="A53" s="96" t="s">
        <v>41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3" ht="16.5" hidden="1" customHeight="1" x14ac:dyDescent="0.3">
      <c r="A54" s="3" t="s">
        <v>42</v>
      </c>
      <c r="B54" s="3" t="s">
        <v>3</v>
      </c>
      <c r="C54" s="4">
        <v>1</v>
      </c>
      <c r="D54" s="4">
        <v>2</v>
      </c>
      <c r="E54" s="4">
        <v>3</v>
      </c>
      <c r="F54" s="4">
        <v>4</v>
      </c>
      <c r="G54" s="4">
        <v>5</v>
      </c>
      <c r="H54" s="4">
        <v>6</v>
      </c>
      <c r="I54" s="4">
        <v>7</v>
      </c>
      <c r="J54" s="4">
        <v>8</v>
      </c>
      <c r="K54" s="4">
        <v>9</v>
      </c>
      <c r="L54" s="4">
        <v>10</v>
      </c>
    </row>
    <row r="55" spans="1:13" ht="17.25" hidden="1" customHeight="1" thickBot="1" x14ac:dyDescent="0.35">
      <c r="A55" s="24" t="s">
        <v>4</v>
      </c>
      <c r="B55" s="25"/>
      <c r="C55" s="20">
        <v>1.5207404936013527</v>
      </c>
      <c r="D55" s="20">
        <v>1.1314655064855903</v>
      </c>
      <c r="E55" s="20">
        <v>2.07477586586353</v>
      </c>
      <c r="F55" s="20">
        <v>1.5330242763099655</v>
      </c>
      <c r="G55" s="20">
        <v>0.39005291817032323</v>
      </c>
      <c r="H55" s="20">
        <v>0.54917410659828358</v>
      </c>
      <c r="I55" s="20">
        <v>0.54920494414156706</v>
      </c>
      <c r="J55" s="20">
        <v>0.89470325262329209</v>
      </c>
      <c r="K55" s="20">
        <v>0.56713615858082556</v>
      </c>
      <c r="L55" s="20">
        <v>2.3966044090159455</v>
      </c>
      <c r="M55" s="26"/>
    </row>
    <row r="56" spans="1:13" ht="18" hidden="1" customHeight="1" thickTop="1" thickBot="1" x14ac:dyDescent="0.35">
      <c r="A56" s="11" t="s">
        <v>43</v>
      </c>
      <c r="B56" s="12"/>
      <c r="C56" s="13">
        <v>1.387</v>
      </c>
      <c r="D56" s="13">
        <v>2.251266642703678</v>
      </c>
      <c r="E56" s="13">
        <v>1.6836284931054597</v>
      </c>
      <c r="F56" s="13">
        <v>1.3712994180647129</v>
      </c>
      <c r="G56" s="13">
        <v>0.94089267523353159</v>
      </c>
      <c r="H56" s="13">
        <v>0.68428184883556875</v>
      </c>
      <c r="I56" s="13">
        <v>0.6582424241333189</v>
      </c>
      <c r="J56" s="13">
        <v>0.66131269927312153</v>
      </c>
      <c r="K56" s="13">
        <v>0.84136450211493086</v>
      </c>
      <c r="L56" s="13">
        <v>3.2753146737222103</v>
      </c>
    </row>
    <row r="57" spans="1:13" ht="18" hidden="1" customHeight="1" thickTop="1" thickBot="1" x14ac:dyDescent="0.35">
      <c r="A57" s="11" t="s">
        <v>44</v>
      </c>
      <c r="B57" s="12"/>
      <c r="C57" s="13">
        <v>1.4634316460339891</v>
      </c>
      <c r="D57" s="13">
        <v>2.2189999999999999</v>
      </c>
      <c r="E57" s="13">
        <v>1.3927437280460047</v>
      </c>
      <c r="F57" s="13">
        <v>1.3857248027621953</v>
      </c>
      <c r="G57" s="13">
        <v>0.89910976116236874</v>
      </c>
      <c r="H57" s="13">
        <v>0.63148966020351494</v>
      </c>
      <c r="I57" s="13">
        <v>0.6582424241333189</v>
      </c>
      <c r="J57" s="13">
        <v>0.65846469456147128</v>
      </c>
      <c r="K57" s="13">
        <v>0.6072786381979246</v>
      </c>
      <c r="L57" s="13">
        <v>2.5059221544943888</v>
      </c>
    </row>
    <row r="58" spans="1:13" ht="18" hidden="1" customHeight="1" thickTop="1" thickBot="1" x14ac:dyDescent="0.35">
      <c r="A58" s="11" t="s">
        <v>45</v>
      </c>
      <c r="B58" s="12"/>
      <c r="C58" s="13">
        <v>2.0961115613522256</v>
      </c>
      <c r="D58" s="13">
        <v>2.2173421408325278</v>
      </c>
      <c r="E58" s="13">
        <v>2.2066688446121812</v>
      </c>
      <c r="F58" s="13">
        <v>2.0223739320987097</v>
      </c>
      <c r="G58" s="13">
        <v>3.3521104199866656</v>
      </c>
      <c r="H58" s="13">
        <v>0.31121396887755104</v>
      </c>
      <c r="I58" s="13">
        <v>0.29511523265524775</v>
      </c>
      <c r="J58" s="13">
        <v>0.21166666666666667</v>
      </c>
      <c r="K58" s="13">
        <v>0.38446305827074601</v>
      </c>
      <c r="L58" s="13">
        <v>1.1491682364921814</v>
      </c>
    </row>
    <row r="59" spans="1:13" ht="18" hidden="1" customHeight="1" thickTop="1" thickBot="1" x14ac:dyDescent="0.35">
      <c r="A59" s="11" t="s">
        <v>46</v>
      </c>
      <c r="B59" s="12"/>
      <c r="C59" s="13">
        <v>2.6933731651368489</v>
      </c>
      <c r="D59" s="13">
        <v>1.7426899832877156</v>
      </c>
      <c r="E59" s="13">
        <v>2.9049644883120593</v>
      </c>
      <c r="F59" s="13">
        <v>2.1880034451398238</v>
      </c>
      <c r="G59" s="13">
        <v>2.7861360281774359</v>
      </c>
      <c r="H59" s="13">
        <v>0.27826239545918369</v>
      </c>
      <c r="I59" s="13">
        <v>0.31588025316613799</v>
      </c>
      <c r="J59" s="13">
        <v>0.21166666666666667</v>
      </c>
      <c r="K59" s="13">
        <v>0.39009478181497853</v>
      </c>
      <c r="L59" s="13">
        <v>1.9348508068562216</v>
      </c>
    </row>
    <row r="60" spans="1:13" ht="18" hidden="1" customHeight="1" thickTop="1" thickBot="1" x14ac:dyDescent="0.35">
      <c r="A60" s="11" t="s">
        <v>47</v>
      </c>
      <c r="B60" s="12"/>
      <c r="C60" s="13">
        <v>2.8419972760982093</v>
      </c>
      <c r="D60" s="13">
        <v>1.4246954082464363</v>
      </c>
      <c r="E60" s="13">
        <v>2.4482844653729208</v>
      </c>
      <c r="F60" s="13">
        <v>2.117460796248186</v>
      </c>
      <c r="G60" s="13">
        <v>3.260830217488206</v>
      </c>
      <c r="H60" s="13">
        <v>0.3159528692346939</v>
      </c>
      <c r="I60" s="13">
        <v>0.29963497938485667</v>
      </c>
      <c r="J60" s="13">
        <v>0.21166666666666667</v>
      </c>
      <c r="K60" s="13">
        <v>0.35378891509010368</v>
      </c>
      <c r="L60" s="13">
        <v>1.598719499573436</v>
      </c>
    </row>
    <row r="61" spans="1:13" ht="18" hidden="1" customHeight="1" thickTop="1" thickBot="1" x14ac:dyDescent="0.35">
      <c r="A61" s="11" t="s">
        <v>48</v>
      </c>
      <c r="B61" s="12"/>
      <c r="C61" s="13">
        <v>2.3725851233311319</v>
      </c>
      <c r="D61" s="13">
        <v>1.7381912788027769</v>
      </c>
      <c r="E61" s="13">
        <v>2.8049932917290743</v>
      </c>
      <c r="F61" s="13">
        <v>2.0045984152149519</v>
      </c>
      <c r="G61" s="13">
        <v>7.1428512616863591</v>
      </c>
      <c r="H61" s="13">
        <v>0.25077053824149664</v>
      </c>
      <c r="I61" s="13">
        <v>0.31304044712190809</v>
      </c>
      <c r="J61" s="13">
        <v>0.21166666666666667</v>
      </c>
      <c r="K61" s="13">
        <v>0.35712248074696057</v>
      </c>
      <c r="L61" s="13">
        <v>2.3223734958283435</v>
      </c>
    </row>
    <row r="62" spans="1:13" ht="17.25" hidden="1" customHeight="1" thickTop="1" x14ac:dyDescent="0.3"/>
    <row r="63" spans="1:13" ht="16.5" hidden="1" customHeight="1" x14ac:dyDescent="0.3">
      <c r="A63" s="3" t="s">
        <v>49</v>
      </c>
      <c r="B63" s="3" t="s">
        <v>3</v>
      </c>
      <c r="C63" s="4">
        <v>1</v>
      </c>
      <c r="D63" s="4">
        <v>2</v>
      </c>
      <c r="E63" s="4">
        <v>3</v>
      </c>
      <c r="F63" s="4">
        <v>4</v>
      </c>
      <c r="G63" s="4">
        <v>5</v>
      </c>
      <c r="H63" s="4">
        <v>6</v>
      </c>
      <c r="I63" s="4">
        <v>7</v>
      </c>
      <c r="J63" s="4">
        <v>8</v>
      </c>
      <c r="K63" s="4">
        <v>9</v>
      </c>
      <c r="L63" s="4">
        <v>10</v>
      </c>
    </row>
    <row r="64" spans="1:13" ht="17.25" hidden="1" customHeight="1" thickBot="1" x14ac:dyDescent="0.35">
      <c r="A64" s="24" t="s">
        <v>4</v>
      </c>
      <c r="B64" s="25"/>
      <c r="C64" s="20">
        <v>1.5207404936013527</v>
      </c>
      <c r="D64" s="20">
        <v>1.1314655064855903</v>
      </c>
      <c r="E64" s="20">
        <v>2.07477586586353</v>
      </c>
      <c r="F64" s="20">
        <v>1.5330242763099655</v>
      </c>
      <c r="G64" s="20">
        <v>0.39005291817032323</v>
      </c>
      <c r="H64" s="20">
        <v>0.54917410659828358</v>
      </c>
      <c r="I64" s="20">
        <v>0.54920494414156706</v>
      </c>
      <c r="J64" s="20">
        <v>0.89470325262329209</v>
      </c>
      <c r="K64" s="20">
        <v>0.56713615858082556</v>
      </c>
      <c r="L64" s="20">
        <v>2.3966044090159455</v>
      </c>
    </row>
    <row r="65" spans="1:13" ht="18" hidden="1" customHeight="1" thickTop="1" thickBot="1" x14ac:dyDescent="0.35">
      <c r="A65" s="11" t="s">
        <v>50</v>
      </c>
      <c r="B65" s="12"/>
      <c r="C65" s="13">
        <v>1.2835792572946114</v>
      </c>
      <c r="D65" s="13">
        <v>2.1444516721941493</v>
      </c>
      <c r="E65" s="13">
        <v>2.0209641130442026</v>
      </c>
      <c r="F65" s="13">
        <v>1.3008233173404729</v>
      </c>
      <c r="G65" s="13">
        <v>13.774322599925743</v>
      </c>
      <c r="H65" s="13">
        <v>0.35162613409523807</v>
      </c>
      <c r="I65" s="13">
        <v>0.31113238767329598</v>
      </c>
      <c r="J65" s="13">
        <v>0.21166666666666667</v>
      </c>
      <c r="K65" s="13">
        <v>0.35530030704054388</v>
      </c>
      <c r="L65" s="13">
        <v>2.1274507810890801</v>
      </c>
    </row>
    <row r="66" spans="1:13" ht="18" hidden="1" customHeight="1" thickTop="1" thickBot="1" x14ac:dyDescent="0.35">
      <c r="A66" s="11" t="s">
        <v>51</v>
      </c>
      <c r="B66" s="12"/>
      <c r="C66" s="13">
        <v>0.93131258199651989</v>
      </c>
      <c r="D66" s="13">
        <v>2.2108153199035074</v>
      </c>
      <c r="E66" s="13">
        <v>1.0371021594012013</v>
      </c>
      <c r="F66" s="13">
        <v>1.1257083195714166</v>
      </c>
      <c r="G66" s="13">
        <v>18.569354252479435</v>
      </c>
      <c r="H66" s="13">
        <v>0.65452581096939222</v>
      </c>
      <c r="I66" s="13">
        <v>0.53081482727182072</v>
      </c>
      <c r="J66" s="13">
        <v>0.3975197995748343</v>
      </c>
      <c r="K66" s="13">
        <v>0.54921114654811609</v>
      </c>
      <c r="L66" s="13">
        <v>1.1099132929964151</v>
      </c>
    </row>
    <row r="67" spans="1:13" ht="18" hidden="1" customHeight="1" thickTop="1" thickBot="1" x14ac:dyDescent="0.35">
      <c r="A67" s="11" t="s">
        <v>52</v>
      </c>
      <c r="B67" s="12"/>
      <c r="C67" s="13">
        <v>1.0771898641405238</v>
      </c>
      <c r="D67" s="13">
        <v>1.9992212596324894</v>
      </c>
      <c r="E67" s="13">
        <v>0.77099327147538377</v>
      </c>
      <c r="F67" s="13">
        <v>1.2020704808238798</v>
      </c>
      <c r="G67" s="13">
        <v>21.740827955152369</v>
      </c>
      <c r="H67" s="13">
        <v>0.77176530561617973</v>
      </c>
      <c r="I67" s="13">
        <v>0.63044258596386016</v>
      </c>
      <c r="J67" s="13">
        <v>0.48867015147332254</v>
      </c>
      <c r="K67" s="13">
        <v>0.76185617245022741</v>
      </c>
      <c r="L67" s="13">
        <v>1.7876934163120031</v>
      </c>
    </row>
    <row r="68" spans="1:13" ht="18" hidden="1" customHeight="1" thickTop="1" thickBot="1" x14ac:dyDescent="0.35">
      <c r="A68" s="11" t="s">
        <v>53</v>
      </c>
      <c r="B68" s="12"/>
      <c r="C68" s="13">
        <v>1.016603962086837</v>
      </c>
      <c r="D68" s="13">
        <v>2.4629356891103744</v>
      </c>
      <c r="E68" s="13">
        <v>1.1804034544231672</v>
      </c>
      <c r="F68" s="13">
        <v>1.0863393664012038</v>
      </c>
      <c r="G68" s="13">
        <v>15.029948567128157</v>
      </c>
      <c r="H68" s="13">
        <v>0.51661028087272809</v>
      </c>
      <c r="I68" s="13">
        <v>0.53763741267831666</v>
      </c>
      <c r="J68" s="13">
        <v>0.40932110893157159</v>
      </c>
      <c r="K68" s="13">
        <v>0.74458422676736047</v>
      </c>
      <c r="L68" s="13">
        <v>1.1555361705354104</v>
      </c>
    </row>
    <row r="69" spans="1:13" ht="18" hidden="1" customHeight="1" thickTop="1" thickBot="1" x14ac:dyDescent="0.35">
      <c r="A69" s="11" t="s">
        <v>54</v>
      </c>
      <c r="B69" s="12"/>
      <c r="C69" s="13">
        <v>2.2054852724136356</v>
      </c>
      <c r="D69" s="13">
        <v>1.292892615543052</v>
      </c>
      <c r="E69" s="13">
        <v>2.9388234496114731</v>
      </c>
      <c r="F69" s="13">
        <v>1.8920640645765454</v>
      </c>
      <c r="G69" s="13">
        <v>3.0835934677300512</v>
      </c>
      <c r="H69" s="13">
        <v>0.35229984296530614</v>
      </c>
      <c r="I69" s="13">
        <v>0.34533898835042692</v>
      </c>
      <c r="J69" s="13">
        <v>0.21166666666666667</v>
      </c>
      <c r="K69" s="13">
        <v>0.41718841724478789</v>
      </c>
      <c r="L69" s="13">
        <v>2.4031100572745898</v>
      </c>
      <c r="M69" s="28"/>
    </row>
    <row r="70" spans="1:13" ht="18" hidden="1" customHeight="1" thickTop="1" thickBot="1" x14ac:dyDescent="0.35">
      <c r="A70" s="29" t="s">
        <v>55</v>
      </c>
      <c r="B70" s="30"/>
      <c r="C70" s="13">
        <v>2.5948629604578448</v>
      </c>
      <c r="D70" s="13">
        <v>1.4227399876075371</v>
      </c>
      <c r="E70" s="13">
        <v>2.6871027189946117</v>
      </c>
      <c r="F70" s="13">
        <v>2.2122372534215322</v>
      </c>
      <c r="G70" s="13">
        <v>3.4791794180506672</v>
      </c>
      <c r="H70" s="13">
        <v>0.37875029786326525</v>
      </c>
      <c r="I70" s="13">
        <v>0.29882987741214373</v>
      </c>
      <c r="J70" s="13">
        <v>0.21166666666666667</v>
      </c>
      <c r="K70" s="13">
        <v>0.36521186545741857</v>
      </c>
      <c r="L70" s="13">
        <v>2.0321353084856781</v>
      </c>
    </row>
    <row r="71" spans="1:13" s="28" customFormat="1" hidden="1" x14ac:dyDescent="0.3">
      <c r="A71" s="31"/>
      <c r="B71" s="32"/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1:13" ht="21" hidden="1" thickTop="1" x14ac:dyDescent="0.3">
      <c r="A72" s="96" t="s">
        <v>56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</row>
    <row r="73" spans="1:13" hidden="1" x14ac:dyDescent="0.3">
      <c r="A73" s="34" t="s">
        <v>57</v>
      </c>
      <c r="B73" s="3" t="s">
        <v>3</v>
      </c>
      <c r="C73" s="4">
        <v>1</v>
      </c>
      <c r="D73" s="4">
        <v>2</v>
      </c>
      <c r="E73" s="4">
        <v>3</v>
      </c>
      <c r="F73" s="4">
        <v>4</v>
      </c>
      <c r="G73" s="4">
        <v>5</v>
      </c>
      <c r="H73" s="4">
        <v>6</v>
      </c>
      <c r="I73" s="4">
        <v>7</v>
      </c>
      <c r="J73" s="4">
        <v>8</v>
      </c>
      <c r="K73" s="4">
        <v>9</v>
      </c>
      <c r="L73" s="5">
        <v>10</v>
      </c>
    </row>
    <row r="74" spans="1:13" ht="19.5" hidden="1" thickBot="1" x14ac:dyDescent="0.35">
      <c r="A74" s="35" t="s">
        <v>4</v>
      </c>
      <c r="B74" s="20"/>
      <c r="C74" s="36">
        <v>1.5207404936013527</v>
      </c>
      <c r="D74" s="36">
        <v>1.1314655064855903</v>
      </c>
      <c r="E74" s="36">
        <v>2.07477586586353</v>
      </c>
      <c r="F74" s="36">
        <v>1.5330242763099655</v>
      </c>
      <c r="G74" s="36">
        <v>0.39005291817032323</v>
      </c>
      <c r="H74" s="36">
        <v>0.54917410659828358</v>
      </c>
      <c r="I74" s="36">
        <v>0.54920494414156706</v>
      </c>
      <c r="J74" s="36">
        <v>0.89470325262329209</v>
      </c>
      <c r="K74" s="36">
        <v>0.56713615858082556</v>
      </c>
      <c r="L74" s="36">
        <v>2.3966044090159455</v>
      </c>
    </row>
    <row r="75" spans="1:13" ht="18" hidden="1" thickTop="1" thickBot="1" x14ac:dyDescent="0.35">
      <c r="A75" s="37" t="s">
        <v>58</v>
      </c>
      <c r="B75" s="11"/>
      <c r="C75" s="38">
        <v>1.2604424839822572</v>
      </c>
      <c r="D75" s="38">
        <v>1.7998000185942729</v>
      </c>
      <c r="E75" s="38">
        <v>1.1845836929220068</v>
      </c>
      <c r="F75" s="38">
        <v>0.94474200448870815</v>
      </c>
      <c r="G75" s="38">
        <v>1.858376569037657</v>
      </c>
      <c r="H75" s="38">
        <v>0.67410469387755101</v>
      </c>
      <c r="I75" s="38">
        <v>0.75794600319916994</v>
      </c>
      <c r="J75" s="38">
        <v>0.6997611923076924</v>
      </c>
      <c r="K75" s="38">
        <v>0.74065856717552425</v>
      </c>
      <c r="L75" s="38">
        <v>1.3784528294404566</v>
      </c>
    </row>
    <row r="76" spans="1:13" ht="18" hidden="1" thickTop="1" thickBot="1" x14ac:dyDescent="0.35">
      <c r="A76" s="37" t="s">
        <v>59</v>
      </c>
      <c r="B76" s="11"/>
      <c r="C76" s="38">
        <v>1.2733891079349431</v>
      </c>
      <c r="D76" s="38">
        <v>1.7415672554853106</v>
      </c>
      <c r="E76" s="38">
        <v>1.1565774457396794</v>
      </c>
      <c r="F76" s="38">
        <v>1.0017626244915137</v>
      </c>
      <c r="G76" s="38">
        <v>1.5336920502092053</v>
      </c>
      <c r="H76" s="38">
        <v>0.63942653061224486</v>
      </c>
      <c r="I76" s="38">
        <v>0.80156223250183745</v>
      </c>
      <c r="J76" s="38">
        <v>0.74913888461538458</v>
      </c>
      <c r="K76" s="38">
        <v>0.69671542408310627</v>
      </c>
      <c r="L76" s="38">
        <v>1.5705694967680532</v>
      </c>
    </row>
    <row r="77" spans="1:13" ht="18" hidden="1" thickTop="1" thickBot="1" x14ac:dyDescent="0.35">
      <c r="A77" s="37" t="s">
        <v>60</v>
      </c>
      <c r="B77" s="11"/>
      <c r="C77" s="38">
        <v>1.0758231819448003</v>
      </c>
      <c r="D77" s="38">
        <v>1.8705919506694657</v>
      </c>
      <c r="E77" s="38">
        <v>1.1480696538368649</v>
      </c>
      <c r="F77" s="38">
        <v>0.94463296068476754</v>
      </c>
      <c r="G77" s="38">
        <v>1.1480391396890126</v>
      </c>
      <c r="H77" s="38">
        <v>0.58802720520272111</v>
      </c>
      <c r="I77" s="38">
        <v>0.9436118409501103</v>
      </c>
      <c r="J77" s="38">
        <v>0.73690221424392299</v>
      </c>
      <c r="K77" s="38">
        <v>1.1327428409108762</v>
      </c>
      <c r="L77" s="38">
        <v>1.9690046696904631</v>
      </c>
    </row>
    <row r="78" spans="1:13" ht="18" hidden="1" thickTop="1" thickBot="1" x14ac:dyDescent="0.35">
      <c r="A78" s="37" t="s">
        <v>61</v>
      </c>
      <c r="B78" s="11"/>
      <c r="C78" s="38"/>
      <c r="D78" s="38"/>
      <c r="E78" s="38"/>
      <c r="F78" s="38"/>
      <c r="G78" s="38"/>
      <c r="H78" s="38"/>
      <c r="I78" s="38"/>
      <c r="J78" s="38"/>
      <c r="K78" s="38"/>
      <c r="L78" s="38"/>
    </row>
    <row r="79" spans="1:13" ht="18" hidden="1" thickTop="1" thickBot="1" x14ac:dyDescent="0.35">
      <c r="A79" s="37" t="s">
        <v>62</v>
      </c>
      <c r="B79" s="11"/>
      <c r="C79" s="38"/>
      <c r="D79" s="38"/>
      <c r="E79" s="38"/>
      <c r="F79" s="38"/>
      <c r="G79" s="38"/>
      <c r="H79" s="38"/>
      <c r="I79" s="38"/>
      <c r="J79" s="38"/>
      <c r="K79" s="38"/>
      <c r="L79" s="38"/>
    </row>
    <row r="80" spans="1:13" ht="18" hidden="1" thickTop="1" thickBot="1" x14ac:dyDescent="0.35">
      <c r="A80" s="37" t="s">
        <v>63</v>
      </c>
      <c r="B80" s="11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1:12" hidden="1" x14ac:dyDescent="0.3"/>
    <row r="82" spans="1:12" ht="17.25" hidden="1" customHeight="1" x14ac:dyDescent="0.3">
      <c r="A82" s="34" t="s">
        <v>2</v>
      </c>
      <c r="B82" s="3" t="s">
        <v>3</v>
      </c>
      <c r="C82" s="4">
        <v>1</v>
      </c>
      <c r="D82" s="4">
        <v>2</v>
      </c>
      <c r="E82" s="4">
        <v>3</v>
      </c>
      <c r="F82" s="4">
        <v>4</v>
      </c>
      <c r="G82" s="4">
        <v>5</v>
      </c>
      <c r="H82" s="4">
        <v>6</v>
      </c>
      <c r="I82" s="4">
        <v>7</v>
      </c>
      <c r="J82" s="4">
        <v>8</v>
      </c>
      <c r="K82" s="4">
        <v>9</v>
      </c>
      <c r="L82" s="5">
        <v>10</v>
      </c>
    </row>
    <row r="83" spans="1:12" ht="19.5" hidden="1" thickBot="1" x14ac:dyDescent="0.35">
      <c r="A83" s="35" t="s">
        <v>4</v>
      </c>
      <c r="B83" s="20"/>
      <c r="C83" s="36">
        <v>1.5207404936013527</v>
      </c>
      <c r="D83" s="36">
        <v>1.1314655064855903</v>
      </c>
      <c r="E83" s="36">
        <v>2.07477586586353</v>
      </c>
      <c r="F83" s="36">
        <v>1.5330242763099655</v>
      </c>
      <c r="G83" s="36">
        <v>0.39005291817032323</v>
      </c>
      <c r="H83" s="36">
        <v>0.54917410659828358</v>
      </c>
      <c r="I83" s="36">
        <v>0.54920494414156706</v>
      </c>
      <c r="J83" s="36">
        <v>0.89470325262329209</v>
      </c>
      <c r="K83" s="36">
        <v>0.56713615858082556</v>
      </c>
      <c r="L83" s="36">
        <v>2.3966044090159455</v>
      </c>
    </row>
    <row r="84" spans="1:12" ht="18" hidden="1" thickTop="1" thickBot="1" x14ac:dyDescent="0.35">
      <c r="A84" s="37" t="s">
        <v>64</v>
      </c>
      <c r="B84" s="11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1:12" ht="18" hidden="1" thickTop="1" thickBot="1" x14ac:dyDescent="0.35">
      <c r="A85" s="37" t="s">
        <v>65</v>
      </c>
      <c r="B85" s="11"/>
      <c r="C85" s="38"/>
      <c r="D85" s="38"/>
      <c r="E85" s="38"/>
      <c r="F85" s="38"/>
      <c r="G85" s="38"/>
      <c r="H85" s="38"/>
      <c r="I85" s="38"/>
      <c r="J85" s="38"/>
      <c r="K85" s="38"/>
      <c r="L85" s="38"/>
    </row>
    <row r="86" spans="1:12" ht="18" hidden="1" thickTop="1" thickBot="1" x14ac:dyDescent="0.35">
      <c r="A86" s="37" t="s">
        <v>66</v>
      </c>
      <c r="B86" s="11"/>
      <c r="C86" s="38"/>
      <c r="D86" s="38"/>
      <c r="E86" s="38"/>
      <c r="F86" s="38"/>
      <c r="G86" s="38"/>
      <c r="H86" s="38"/>
      <c r="I86" s="38"/>
      <c r="J86" s="38"/>
      <c r="K86" s="38"/>
      <c r="L86" s="38"/>
    </row>
    <row r="87" spans="1:12" ht="18" hidden="1" thickTop="1" thickBot="1" x14ac:dyDescent="0.35">
      <c r="A87" s="37" t="s">
        <v>67</v>
      </c>
      <c r="B87" s="11"/>
      <c r="C87" s="38"/>
      <c r="D87" s="38"/>
      <c r="E87" s="38"/>
      <c r="F87" s="38"/>
      <c r="G87" s="38"/>
      <c r="H87" s="38"/>
      <c r="I87" s="38"/>
      <c r="J87" s="38"/>
      <c r="K87" s="38"/>
      <c r="L87" s="38"/>
    </row>
    <row r="88" spans="1:12" ht="18" hidden="1" thickTop="1" thickBot="1" x14ac:dyDescent="0.35">
      <c r="A88" s="37" t="s">
        <v>68</v>
      </c>
      <c r="B88" s="11"/>
      <c r="C88" s="38">
        <v>1.2320928658807295</v>
      </c>
      <c r="D88" s="38">
        <v>1.569110361491576</v>
      </c>
      <c r="E88" s="38">
        <v>0.96673041920152003</v>
      </c>
      <c r="F88" s="38">
        <v>0.77468651618098439</v>
      </c>
      <c r="G88" s="38">
        <v>2.0079864882270675</v>
      </c>
      <c r="H88" s="38">
        <v>0.64307026966666669</v>
      </c>
      <c r="I88" s="38">
        <v>1.1043226173589558</v>
      </c>
      <c r="J88" s="38">
        <v>1.0833913878684618</v>
      </c>
      <c r="K88" s="38">
        <v>0.74647615859195537</v>
      </c>
      <c r="L88" s="38">
        <v>1.7899966798467284</v>
      </c>
    </row>
    <row r="89" spans="1:12" ht="18" hidden="1" thickTop="1" thickBot="1" x14ac:dyDescent="0.35">
      <c r="A89" s="37" t="s">
        <v>69</v>
      </c>
      <c r="B89" s="11"/>
      <c r="C89" s="38">
        <v>1.0740321275820601</v>
      </c>
      <c r="D89" s="38">
        <v>1.8132837987567398</v>
      </c>
      <c r="E89" s="38">
        <v>0.90260559670058627</v>
      </c>
      <c r="F89" s="38">
        <v>0.81185038860907688</v>
      </c>
      <c r="G89" s="38">
        <v>0.67023470116338146</v>
      </c>
      <c r="H89" s="38">
        <v>0.45663843654632658</v>
      </c>
      <c r="I89" s="38">
        <v>0.44676362249798973</v>
      </c>
      <c r="J89" s="38">
        <v>0.74347352223761531</v>
      </c>
      <c r="K89" s="38">
        <v>0.60588049926553955</v>
      </c>
      <c r="L89" s="38">
        <v>0.72669315065094964</v>
      </c>
    </row>
    <row r="90" spans="1:12" ht="17.25" thickBot="1" x14ac:dyDescent="0.35"/>
    <row r="91" spans="1:12" ht="21" thickTop="1" x14ac:dyDescent="0.3">
      <c r="A91" s="96" t="s">
        <v>93</v>
      </c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</row>
    <row r="92" spans="1:12" ht="18" x14ac:dyDescent="0.3">
      <c r="A92" s="82" t="s">
        <v>92</v>
      </c>
      <c r="B92" s="82" t="s">
        <v>3</v>
      </c>
      <c r="C92" s="83">
        <v>1</v>
      </c>
      <c r="D92" s="83">
        <v>2</v>
      </c>
      <c r="E92" s="83">
        <v>3</v>
      </c>
      <c r="F92" s="83">
        <v>4</v>
      </c>
      <c r="G92" s="83">
        <v>5</v>
      </c>
      <c r="H92" s="83">
        <v>6</v>
      </c>
      <c r="I92" s="83">
        <v>7</v>
      </c>
      <c r="J92" s="83">
        <v>8</v>
      </c>
      <c r="K92" s="83">
        <v>9</v>
      </c>
      <c r="L92" s="84">
        <v>10</v>
      </c>
    </row>
    <row r="93" spans="1:12" ht="19.5" thickBot="1" x14ac:dyDescent="0.35">
      <c r="A93" s="85" t="s">
        <v>4</v>
      </c>
      <c r="B93" s="36"/>
      <c r="C93" s="36">
        <f>+'CUSPT Equivalente - Generadores'!C33</f>
        <v>1.020661118277898</v>
      </c>
      <c r="D93" s="36">
        <f>+'CUSPT Equivalente - Generadores'!D33</f>
        <v>0.95559357113356269</v>
      </c>
      <c r="E93" s="36">
        <f>+'CUSPT Equivalente - Generadores'!E33</f>
        <v>1.7681166807498798</v>
      </c>
      <c r="F93" s="36">
        <f>+'CUSPT Equivalente - Generadores'!F33</f>
        <v>1.3269481227370881</v>
      </c>
      <c r="G93" s="36">
        <f>+'CUSPT Equivalente - Generadores'!G33</f>
        <v>0.19934656366339584</v>
      </c>
      <c r="H93" s="36">
        <f>+'CUSPT Equivalente - Generadores'!H33</f>
        <v>0.52579916171498586</v>
      </c>
      <c r="I93" s="36">
        <f>+'CUSPT Equivalente - Generadores'!I33</f>
        <v>0.55298120664718708</v>
      </c>
      <c r="J93" s="36">
        <f>+'CUSPT Equivalente - Generadores'!J33</f>
        <v>0.77276263177103377</v>
      </c>
      <c r="K93" s="36">
        <f>+'CUSPT Equivalente - Generadores'!K33</f>
        <v>0.53221258060509791</v>
      </c>
      <c r="L93" s="36">
        <f>+'CUSPT Equivalente - Generadores'!L33</f>
        <v>1.8674550765248936</v>
      </c>
    </row>
    <row r="94" spans="1:12" ht="20.25" thickTop="1" thickBot="1" x14ac:dyDescent="0.35">
      <c r="A94" s="86" t="s">
        <v>95</v>
      </c>
      <c r="B94" s="86"/>
      <c r="C94" s="87">
        <f>+'CUSPT Equivalente - Generadores'!C40</f>
        <v>0.68273591756583041</v>
      </c>
      <c r="D94" s="87">
        <f>+'CUSPT Equivalente - Generadores'!D40</f>
        <v>1.7936652136254667</v>
      </c>
      <c r="E94" s="87">
        <f>+'CUSPT Equivalente - Generadores'!E40</f>
        <v>0.94307791415353637</v>
      </c>
      <c r="F94" s="87">
        <f>+'CUSPT Equivalente - Generadores'!F40</f>
        <v>1.135570611497156</v>
      </c>
      <c r="G94" s="87">
        <f>+'CUSPT Equivalente - Generadores'!G40</f>
        <v>1.0741474496313816</v>
      </c>
      <c r="H94" s="87">
        <f>+'CUSPT Equivalente - Generadores'!H40</f>
        <v>0.65383070593911563</v>
      </c>
      <c r="I94" s="87">
        <f>+'CUSPT Equivalente - Generadores'!I40</f>
        <v>0.64642882578866823</v>
      </c>
      <c r="J94" s="87">
        <f>+'CUSPT Equivalente - Generadores'!J40</f>
        <v>0.74926035484951925</v>
      </c>
      <c r="K94" s="87">
        <f>+'CUSPT Equivalente - Generadores'!K40</f>
        <v>0.69109234100471273</v>
      </c>
      <c r="L94" s="87">
        <f>+'CUSPT Equivalente - Generadores'!L40</f>
        <v>0.88822141641744867</v>
      </c>
    </row>
    <row r="95" spans="1:12" ht="20.25" thickTop="1" thickBot="1" x14ac:dyDescent="0.35">
      <c r="A95" s="86" t="s">
        <v>96</v>
      </c>
      <c r="B95" s="86"/>
      <c r="C95" s="87">
        <f>+'CUSPT Equivalente - Generadores'!C46</f>
        <v>0.75078282759980286</v>
      </c>
      <c r="D95" s="87">
        <f>+'CUSPT Equivalente - Generadores'!D46</f>
        <v>1.8528406402277056</v>
      </c>
      <c r="E95" s="87">
        <f>+'CUSPT Equivalente - Generadores'!E46</f>
        <v>1.1623065947307909</v>
      </c>
      <c r="F95" s="87">
        <f>+'CUSPT Equivalente - Generadores'!F46</f>
        <v>1.0046764562352726</v>
      </c>
      <c r="G95" s="87">
        <f>+'CUSPT Equivalente - Generadores'!G46</f>
        <v>0.9808897051055796</v>
      </c>
      <c r="H95" s="87">
        <f>+'CUSPT Equivalente - Generadores'!H46</f>
        <v>0.67241409030571431</v>
      </c>
      <c r="I95" s="87">
        <f>+'CUSPT Equivalente - Generadores'!I46</f>
        <v>0.63489447442813118</v>
      </c>
      <c r="J95" s="87">
        <f>+'CUSPT Equivalente - Generadores'!J46</f>
        <v>0.87966856276769234</v>
      </c>
      <c r="K95" s="87">
        <f>+'CUSPT Equivalente - Generadores'!K46</f>
        <v>0.67405632896775103</v>
      </c>
      <c r="L95" s="87">
        <f>+'CUSPT Equivalente - Generadores'!L46</f>
        <v>0.69623825685648577</v>
      </c>
    </row>
    <row r="96" spans="1:12" ht="20.25" thickTop="1" thickBot="1" x14ac:dyDescent="0.35">
      <c r="A96" s="86" t="s">
        <v>97</v>
      </c>
      <c r="B96" s="86"/>
      <c r="C96" s="87">
        <f>+'CUSPT Equivalente - Generadores'!C52</f>
        <v>0.91414514480039422</v>
      </c>
      <c r="D96" s="87">
        <f>+'CUSPT Equivalente - Generadores'!D52</f>
        <v>1.5113185059944665</v>
      </c>
      <c r="E96" s="87">
        <f>+'CUSPT Equivalente - Generadores'!E52</f>
        <v>1.4054317252194863</v>
      </c>
      <c r="F96" s="87">
        <f>+'CUSPT Equivalente - Generadores'!F52</f>
        <v>1.3397355281720151</v>
      </c>
      <c r="G96" s="87">
        <f>+'CUSPT Equivalente - Generadores'!G52</f>
        <v>0.96459985396993175</v>
      </c>
      <c r="H96" s="87">
        <f>+'CUSPT Equivalente - Generadores'!H52</f>
        <v>0.6731496726232653</v>
      </c>
      <c r="I96" s="87">
        <f>+'CUSPT Equivalente - Generadores'!I52</f>
        <v>0.6131877284102798</v>
      </c>
      <c r="J96" s="87">
        <f>+'CUSPT Equivalente - Generadores'!J52</f>
        <v>0.59034110913086535</v>
      </c>
      <c r="K96" s="87">
        <f>+'CUSPT Equivalente - Generadores'!K52</f>
        <v>0.67002436433327039</v>
      </c>
      <c r="L96" s="87">
        <f>+'CUSPT Equivalente - Generadores'!L52</f>
        <v>0.72745728866836656</v>
      </c>
    </row>
    <row r="97" spans="1:12" ht="20.25" thickTop="1" thickBot="1" x14ac:dyDescent="0.35">
      <c r="A97" s="86" t="s">
        <v>98</v>
      </c>
      <c r="B97" s="86"/>
      <c r="C97" s="87">
        <f>+'CUSPT Equivalente - Generadores'!C58</f>
        <v>1.53632053676688</v>
      </c>
      <c r="D97" s="87">
        <f>+'CUSPT Equivalente - Generadores'!D58</f>
        <v>1.2470734424912504</v>
      </c>
      <c r="E97" s="87">
        <f>+'CUSPT Equivalente - Generadores'!E58</f>
        <v>1.757055292217174</v>
      </c>
      <c r="F97" s="87">
        <f>+'CUSPT Equivalente - Generadores'!F58</f>
        <v>1.6712675137650173</v>
      </c>
      <c r="G97" s="87">
        <f>+'CUSPT Equivalente - Generadores'!G58</f>
        <v>0.79775294009788578</v>
      </c>
      <c r="H97" s="87">
        <f>+'CUSPT Equivalente - Generadores'!H58</f>
        <v>0.57099999999999995</v>
      </c>
      <c r="I97" s="87">
        <f>+'CUSPT Equivalente - Generadores'!I58</f>
        <v>0.58416810000931629</v>
      </c>
      <c r="J97" s="87">
        <f>+'CUSPT Equivalente - Generadores'!J58</f>
        <v>0.57099999999999995</v>
      </c>
      <c r="K97" s="87">
        <f>+'CUSPT Equivalente - Generadores'!K58</f>
        <v>0.67221847259327416</v>
      </c>
      <c r="L97" s="87">
        <f>+'CUSPT Equivalente - Generadores'!L58</f>
        <v>0.86845193635035101</v>
      </c>
    </row>
    <row r="98" spans="1:12" ht="20.25" thickTop="1" thickBot="1" x14ac:dyDescent="0.35">
      <c r="A98" s="95" t="s">
        <v>99</v>
      </c>
      <c r="B98" s="95"/>
      <c r="C98" s="94">
        <f>+'CUSPT Equivalente - Generadores'!C64</f>
        <v>0.72761080946278955</v>
      </c>
      <c r="D98" s="94">
        <f>+'CUSPT Equivalente - Generadores'!D64</f>
        <v>1.7308131898431836</v>
      </c>
      <c r="E98" s="94">
        <f>+'CUSPT Equivalente - Generadores'!E64</f>
        <v>0.56014112842467356</v>
      </c>
      <c r="F98" s="94">
        <f>+'CUSPT Equivalente - Generadores'!F64</f>
        <v>1.322977965261106</v>
      </c>
      <c r="G98" s="94">
        <f>+'CUSPT Equivalente - Generadores'!G64</f>
        <v>0.89857404847865063</v>
      </c>
      <c r="H98" s="94">
        <f>+'CUSPT Equivalente - Generadores'!H64</f>
        <v>0.62140568510240823</v>
      </c>
      <c r="I98" s="94">
        <f>+'CUSPT Equivalente - Generadores'!I64</f>
        <v>0.55101669334863779</v>
      </c>
      <c r="J98" s="94">
        <f>+'CUSPT Equivalente - Generadores'!J64</f>
        <v>0.64733276110366922</v>
      </c>
      <c r="K98" s="94">
        <f>+'CUSPT Equivalente - Generadores'!K64</f>
        <v>0.64627746174404088</v>
      </c>
      <c r="L98" s="94">
        <f>+'CUSPT Equivalente - Generadores'!L64</f>
        <v>0.6706546875976247</v>
      </c>
    </row>
    <row r="99" spans="1:12" ht="19.5" hidden="1" thickTop="1" x14ac:dyDescent="0.3">
      <c r="A99" s="88" t="s">
        <v>100</v>
      </c>
      <c r="B99" s="88"/>
      <c r="C99" s="89"/>
      <c r="D99" s="89"/>
      <c r="E99" s="89"/>
      <c r="F99" s="89"/>
      <c r="G99" s="89"/>
      <c r="H99" s="89"/>
      <c r="I99" s="89"/>
      <c r="J99" s="89"/>
      <c r="K99" s="89"/>
      <c r="L99" s="89"/>
    </row>
    <row r="100" spans="1:12" ht="19.5" hidden="1" thickBot="1" x14ac:dyDescent="0.35">
      <c r="A100" s="90" t="s">
        <v>101</v>
      </c>
      <c r="B100" s="90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1:12" ht="20.25" hidden="1" thickTop="1" thickBot="1" x14ac:dyDescent="0.35">
      <c r="A101" s="90" t="s">
        <v>102</v>
      </c>
      <c r="B101" s="90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1:12" ht="20.25" hidden="1" thickTop="1" thickBot="1" x14ac:dyDescent="0.35">
      <c r="A102" s="86" t="s">
        <v>103</v>
      </c>
      <c r="B102" s="86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1:12" ht="20.25" hidden="1" thickTop="1" thickBot="1" x14ac:dyDescent="0.35">
      <c r="A103" s="86" t="s">
        <v>104</v>
      </c>
      <c r="B103" s="86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1:12" ht="20.25" hidden="1" thickTop="1" thickBot="1" x14ac:dyDescent="0.35">
      <c r="A104" s="86" t="s">
        <v>105</v>
      </c>
      <c r="B104" s="86"/>
      <c r="C104" s="92"/>
      <c r="D104" s="92"/>
      <c r="E104" s="92"/>
      <c r="F104" s="92"/>
      <c r="G104" s="92"/>
      <c r="H104" s="92"/>
      <c r="I104" s="92"/>
      <c r="J104" s="92"/>
      <c r="K104" s="92"/>
      <c r="L104" s="92"/>
    </row>
    <row r="105" spans="1:12" ht="17.25" thickTop="1" x14ac:dyDescent="0.3"/>
    <row r="106" spans="1:12" x14ac:dyDescent="0.3">
      <c r="C106" s="26"/>
      <c r="D106" s="26"/>
      <c r="E106" s="26"/>
      <c r="F106" s="26"/>
      <c r="G106" s="26"/>
      <c r="H106" s="26"/>
      <c r="I106" s="26"/>
      <c r="J106" s="26"/>
      <c r="K106" s="26"/>
      <c r="L106" s="26"/>
    </row>
  </sheetData>
  <mergeCells count="9">
    <mergeCell ref="A53:L53"/>
    <mergeCell ref="A72:L72"/>
    <mergeCell ref="A91:L91"/>
    <mergeCell ref="A2:L2"/>
    <mergeCell ref="A3:L3"/>
    <mergeCell ref="A4:L4"/>
    <mergeCell ref="A15:L15"/>
    <mergeCell ref="A33:L33"/>
    <mergeCell ref="A34:L3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N103"/>
  <sheetViews>
    <sheetView showGridLines="0" topLeftCell="A40" zoomScale="70" zoomScaleNormal="70" workbookViewId="0">
      <selection activeCell="P62" sqref="P62:P63"/>
    </sheetView>
  </sheetViews>
  <sheetFormatPr baseColWidth="10" defaultRowHeight="20.25" x14ac:dyDescent="0.3"/>
  <cols>
    <col min="1" max="1" width="45.85546875" style="40" customWidth="1"/>
    <col min="2" max="2" width="12.140625" style="40" customWidth="1"/>
    <col min="3" max="3" width="16.28515625" style="40" bestFit="1" customWidth="1"/>
    <col min="4" max="4" width="18.42578125" style="40" bestFit="1" customWidth="1"/>
    <col min="5" max="7" width="16.28515625" style="40" bestFit="1" customWidth="1"/>
    <col min="8" max="8" width="15.85546875" style="40" bestFit="1" customWidth="1"/>
    <col min="9" max="11" width="16.28515625" style="40" bestFit="1" customWidth="1"/>
    <col min="12" max="12" width="15.85546875" style="40" bestFit="1" customWidth="1"/>
    <col min="13" max="13" width="18.140625" style="79" bestFit="1" customWidth="1"/>
    <col min="14" max="14" width="16" style="39" bestFit="1" customWidth="1"/>
    <col min="15" max="15" width="16.85546875" style="39" customWidth="1"/>
    <col min="16" max="16" width="18" style="39" customWidth="1"/>
    <col min="17" max="17" width="15.140625" style="39" customWidth="1"/>
    <col min="18" max="18" width="11.42578125" style="39"/>
    <col min="19" max="19" width="13.42578125" style="39" customWidth="1"/>
    <col min="20" max="20" width="13.7109375" style="39" customWidth="1"/>
    <col min="21" max="21" width="11.5703125" style="39" bestFit="1" customWidth="1"/>
    <col min="22" max="22" width="11.85546875" style="39" bestFit="1" customWidth="1"/>
    <col min="23" max="24" width="13.42578125" style="39" bestFit="1" customWidth="1"/>
    <col min="25" max="26" width="11.5703125" style="39" bestFit="1" customWidth="1"/>
    <col min="27" max="27" width="11.85546875" style="39" bestFit="1" customWidth="1"/>
    <col min="28" max="28" width="11.5703125" style="39" bestFit="1" customWidth="1"/>
    <col min="29" max="29" width="12.85546875" style="39" bestFit="1" customWidth="1"/>
    <col min="30" max="30" width="15.85546875" style="39" customWidth="1"/>
    <col min="31" max="40" width="11.42578125" style="39"/>
    <col min="41" max="16384" width="11.42578125" style="40"/>
  </cols>
  <sheetData>
    <row r="2" spans="1:40" x14ac:dyDescent="0.3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40" x14ac:dyDescent="0.3">
      <c r="A3" s="100" t="s">
        <v>70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40" ht="25.5" customHeight="1" x14ac:dyDescent="0.3">
      <c r="A4" s="100" t="s">
        <v>71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41"/>
      <c r="R4" s="42"/>
      <c r="S4" s="42"/>
    </row>
    <row r="5" spans="1:40" x14ac:dyDescent="0.3">
      <c r="A5" s="100" t="s">
        <v>72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41"/>
      <c r="R5" s="42"/>
      <c r="S5" s="42"/>
    </row>
    <row r="6" spans="1:40" s="44" customFormat="1" ht="21.75" customHeight="1" x14ac:dyDescent="0.3">
      <c r="A6" s="100" t="s">
        <v>73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43"/>
      <c r="AF6" s="45"/>
      <c r="AG6" s="45"/>
      <c r="AH6" s="45"/>
      <c r="AI6" s="45"/>
      <c r="AJ6" s="45"/>
      <c r="AK6" s="45"/>
      <c r="AL6" s="45"/>
      <c r="AM6" s="45"/>
      <c r="AN6" s="45"/>
    </row>
    <row r="7" spans="1:40" ht="21" thickBot="1" x14ac:dyDescent="0.35">
      <c r="A7" s="46" t="s">
        <v>3</v>
      </c>
      <c r="B7" s="47"/>
      <c r="C7" s="47">
        <v>1</v>
      </c>
      <c r="D7" s="47">
        <v>2</v>
      </c>
      <c r="E7" s="47">
        <v>3</v>
      </c>
      <c r="F7" s="47">
        <v>4</v>
      </c>
      <c r="G7" s="47">
        <v>5</v>
      </c>
      <c r="H7" s="47">
        <v>6</v>
      </c>
      <c r="I7" s="47">
        <v>7</v>
      </c>
      <c r="J7" s="47">
        <v>8</v>
      </c>
      <c r="K7" s="47">
        <v>9</v>
      </c>
      <c r="L7" s="47">
        <v>10</v>
      </c>
      <c r="M7" s="47" t="s">
        <v>74</v>
      </c>
      <c r="N7" s="41"/>
    </row>
    <row r="8" spans="1:40" ht="21" customHeight="1" thickTop="1" thickBot="1" x14ac:dyDescent="0.35">
      <c r="A8" s="48" t="s">
        <v>75</v>
      </c>
      <c r="B8" s="49" t="s">
        <v>76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41"/>
    </row>
    <row r="9" spans="1:40" ht="20.25" customHeight="1" thickTop="1" thickBot="1" x14ac:dyDescent="0.35">
      <c r="A9" s="48" t="s">
        <v>77</v>
      </c>
      <c r="B9" s="49" t="s">
        <v>76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41"/>
    </row>
    <row r="10" spans="1:40" ht="18.75" customHeight="1" thickTop="1" thickBot="1" x14ac:dyDescent="0.35">
      <c r="A10" s="48" t="s">
        <v>78</v>
      </c>
      <c r="B10" s="49" t="s">
        <v>76</v>
      </c>
      <c r="C10" s="50">
        <v>3607.0163919940915</v>
      </c>
      <c r="D10" s="50">
        <v>6167.0186706675595</v>
      </c>
      <c r="E10" s="50">
        <v>3294.4257242404055</v>
      </c>
      <c r="F10" s="50">
        <v>5982.5243801901979</v>
      </c>
      <c r="G10" s="50">
        <v>1451.585859559023</v>
      </c>
      <c r="H10" s="50">
        <v>927.50972126523504</v>
      </c>
      <c r="I10" s="50">
        <v>1300.4790825445887</v>
      </c>
      <c r="J10" s="50">
        <v>2411.0194111256251</v>
      </c>
      <c r="K10" s="50">
        <v>5061.5332380834989</v>
      </c>
      <c r="L10" s="50">
        <v>5650.9937597673888</v>
      </c>
      <c r="M10" s="50">
        <f>SUM(C10:L10)</f>
        <v>35854.106239437613</v>
      </c>
      <c r="N10" s="41"/>
    </row>
    <row r="11" spans="1:40" ht="18.75" customHeight="1" thickTop="1" thickBot="1" x14ac:dyDescent="0.35">
      <c r="A11" s="48" t="s">
        <v>79</v>
      </c>
      <c r="B11" s="49" t="s">
        <v>76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>
        <v>0</v>
      </c>
      <c r="N11" s="41"/>
    </row>
    <row r="12" spans="1:40" s="44" customFormat="1" ht="21" thickTop="1" x14ac:dyDescent="0.3">
      <c r="A12" s="51"/>
      <c r="B12" s="5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4"/>
      <c r="N12" s="41"/>
      <c r="O12" s="39"/>
      <c r="P12" s="39"/>
      <c r="Q12" s="39"/>
      <c r="R12" s="39"/>
      <c r="S12" s="39"/>
      <c r="AF12" s="45"/>
      <c r="AG12" s="45"/>
      <c r="AH12" s="45"/>
      <c r="AI12" s="45"/>
      <c r="AJ12" s="45"/>
      <c r="AK12" s="45"/>
      <c r="AL12" s="45"/>
      <c r="AM12" s="45"/>
      <c r="AN12" s="45"/>
    </row>
    <row r="13" spans="1:40" s="44" customFormat="1" x14ac:dyDescent="0.3">
      <c r="A13" s="100" t="s">
        <v>80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41"/>
      <c r="O13" s="39"/>
      <c r="P13" s="39"/>
      <c r="Q13" s="39"/>
      <c r="R13" s="39"/>
      <c r="S13" s="39"/>
      <c r="AF13" s="45"/>
      <c r="AG13" s="45"/>
      <c r="AH13" s="45"/>
      <c r="AI13" s="45"/>
      <c r="AJ13" s="45"/>
      <c r="AK13" s="45"/>
      <c r="AL13" s="45"/>
      <c r="AM13" s="45"/>
      <c r="AN13" s="45"/>
    </row>
    <row r="14" spans="1:40" ht="21" thickBot="1" x14ac:dyDescent="0.35">
      <c r="A14" s="46" t="s">
        <v>3</v>
      </c>
      <c r="B14" s="47"/>
      <c r="C14" s="47">
        <v>1</v>
      </c>
      <c r="D14" s="47">
        <v>2</v>
      </c>
      <c r="E14" s="47">
        <v>3</v>
      </c>
      <c r="F14" s="47">
        <v>4</v>
      </c>
      <c r="G14" s="47">
        <v>5</v>
      </c>
      <c r="H14" s="47">
        <v>6</v>
      </c>
      <c r="I14" s="47">
        <v>7</v>
      </c>
      <c r="J14" s="47">
        <v>8</v>
      </c>
      <c r="K14" s="47">
        <v>9</v>
      </c>
      <c r="L14" s="47">
        <v>10</v>
      </c>
      <c r="M14" s="47" t="s">
        <v>74</v>
      </c>
      <c r="N14" s="41"/>
    </row>
    <row r="15" spans="1:40" ht="21.75" thickTop="1" thickBot="1" x14ac:dyDescent="0.35">
      <c r="A15" s="48" t="s">
        <v>75</v>
      </c>
      <c r="B15" s="49" t="s">
        <v>81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41"/>
    </row>
    <row r="16" spans="1:40" ht="21.75" thickTop="1" thickBot="1" x14ac:dyDescent="0.35">
      <c r="A16" s="48" t="s">
        <v>77</v>
      </c>
      <c r="B16" s="49" t="s">
        <v>81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41"/>
    </row>
    <row r="17" spans="1:40" ht="21.75" thickTop="1" thickBot="1" x14ac:dyDescent="0.35">
      <c r="A17" s="48" t="s">
        <v>78</v>
      </c>
      <c r="B17" s="49" t="s">
        <v>81</v>
      </c>
      <c r="C17" s="50">
        <v>294.5</v>
      </c>
      <c r="D17" s="50">
        <v>537.79999999999995</v>
      </c>
      <c r="E17" s="50">
        <v>155.26999999999998</v>
      </c>
      <c r="F17" s="50">
        <v>375.70699999999999</v>
      </c>
      <c r="G17" s="50">
        <v>606.81000000000006</v>
      </c>
      <c r="H17" s="50">
        <v>147</v>
      </c>
      <c r="I17" s="50">
        <v>195.98</v>
      </c>
      <c r="J17" s="50">
        <v>260</v>
      </c>
      <c r="K17" s="50">
        <v>792.53</v>
      </c>
      <c r="L17" s="50">
        <v>252.17</v>
      </c>
      <c r="M17" s="50">
        <f>SUM(C17:L17)</f>
        <v>3617.7669999999998</v>
      </c>
      <c r="N17" s="41"/>
      <c r="AF17" s="55"/>
    </row>
    <row r="18" spans="1:40" ht="18.75" customHeight="1" thickTop="1" thickBot="1" x14ac:dyDescent="0.35">
      <c r="A18" s="48" t="s">
        <v>79</v>
      </c>
      <c r="B18" s="49" t="s">
        <v>81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>
        <v>0</v>
      </c>
      <c r="N18" s="41"/>
    </row>
    <row r="19" spans="1:40" ht="20.25" customHeight="1" thickTop="1" x14ac:dyDescent="0.3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7"/>
      <c r="N19" s="41"/>
    </row>
    <row r="20" spans="1:40" s="44" customFormat="1" x14ac:dyDescent="0.3">
      <c r="A20" s="100" t="s">
        <v>82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58"/>
      <c r="N20" s="41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</row>
    <row r="21" spans="1:40" s="44" customFormat="1" ht="17.25" customHeight="1" x14ac:dyDescent="0.3">
      <c r="A21" s="100" t="s">
        <v>83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59"/>
      <c r="N21" s="41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</row>
    <row r="22" spans="1:40" ht="21" thickBot="1" x14ac:dyDescent="0.35">
      <c r="A22" s="60" t="s">
        <v>3</v>
      </c>
      <c r="B22" s="61"/>
      <c r="C22" s="61">
        <v>1</v>
      </c>
      <c r="D22" s="61">
        <v>2</v>
      </c>
      <c r="E22" s="61">
        <v>3</v>
      </c>
      <c r="F22" s="61">
        <v>4</v>
      </c>
      <c r="G22" s="61">
        <v>5</v>
      </c>
      <c r="H22" s="61">
        <v>6</v>
      </c>
      <c r="I22" s="61">
        <v>7</v>
      </c>
      <c r="J22" s="61">
        <v>8</v>
      </c>
      <c r="K22" s="61">
        <v>9</v>
      </c>
      <c r="L22" s="62">
        <v>10</v>
      </c>
      <c r="M22" s="59"/>
      <c r="N22" s="41"/>
    </row>
    <row r="23" spans="1:40" ht="21.75" thickTop="1" thickBot="1" x14ac:dyDescent="0.35">
      <c r="A23" s="48" t="s">
        <v>75</v>
      </c>
      <c r="B23" s="49" t="s">
        <v>76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59"/>
      <c r="N23" s="41"/>
      <c r="O23" s="59"/>
      <c r="P23" s="59"/>
      <c r="Q23" s="59"/>
      <c r="R23" s="59"/>
      <c r="S23" s="59"/>
      <c r="T23" s="59"/>
      <c r="U23" s="59"/>
      <c r="V23" s="59"/>
    </row>
    <row r="24" spans="1:40" ht="21.75" thickTop="1" thickBot="1" x14ac:dyDescent="0.35">
      <c r="A24" s="48" t="s">
        <v>77</v>
      </c>
      <c r="B24" s="49" t="s">
        <v>76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4"/>
      <c r="N24" s="41"/>
      <c r="O24" s="59"/>
      <c r="P24" s="59"/>
      <c r="Q24" s="59"/>
      <c r="R24" s="59"/>
      <c r="S24" s="59"/>
      <c r="T24" s="59"/>
      <c r="U24" s="59"/>
      <c r="V24" s="59"/>
    </row>
    <row r="25" spans="1:40" ht="21.75" thickTop="1" thickBot="1" x14ac:dyDescent="0.35">
      <c r="A25" s="48" t="s">
        <v>78</v>
      </c>
      <c r="B25" s="49" t="s">
        <v>76</v>
      </c>
      <c r="C25" s="63">
        <v>1.020661118277898</v>
      </c>
      <c r="D25" s="63">
        <v>0.95559357113356269</v>
      </c>
      <c r="E25" s="63">
        <v>1.7681166807498798</v>
      </c>
      <c r="F25" s="63">
        <v>1.3269481227370881</v>
      </c>
      <c r="G25" s="63">
        <v>0.19934656366339584</v>
      </c>
      <c r="H25" s="63">
        <v>0.52579916171498586</v>
      </c>
      <c r="I25" s="63">
        <v>0.55298120664718708</v>
      </c>
      <c r="J25" s="63">
        <v>0.77276263177103366</v>
      </c>
      <c r="K25" s="63">
        <v>0.53221258060509791</v>
      </c>
      <c r="L25" s="63">
        <v>1.8674550765248936</v>
      </c>
      <c r="M25" s="59"/>
      <c r="N25" s="41"/>
      <c r="O25" s="59"/>
      <c r="P25" s="59"/>
      <c r="Q25" s="59"/>
      <c r="R25" s="59"/>
      <c r="S25" s="59"/>
      <c r="T25" s="59"/>
      <c r="U25" s="59"/>
      <c r="V25" s="59"/>
    </row>
    <row r="26" spans="1:40" ht="21.75" thickTop="1" thickBot="1" x14ac:dyDescent="0.35">
      <c r="A26" s="48" t="s">
        <v>79</v>
      </c>
      <c r="B26" s="49" t="s">
        <v>76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9"/>
      <c r="N26" s="41"/>
    </row>
    <row r="27" spans="1:40" ht="21" thickTop="1" x14ac:dyDescent="0.3">
      <c r="M27" s="65"/>
      <c r="N27" s="41"/>
    </row>
    <row r="28" spans="1:40" s="70" customFormat="1" x14ac:dyDescent="0.3">
      <c r="A28" s="66" t="s">
        <v>84</v>
      </c>
      <c r="B28" s="67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9"/>
      <c r="N28" s="41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</row>
    <row r="29" spans="1:40" s="70" customFormat="1" x14ac:dyDescent="0.3">
      <c r="A29" s="66"/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  <c r="N29" s="41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</row>
    <row r="30" spans="1:40" ht="21" thickBot="1" x14ac:dyDescent="0.35">
      <c r="A30" s="71" t="s">
        <v>91</v>
      </c>
      <c r="B30" s="72" t="s">
        <v>3</v>
      </c>
      <c r="C30" s="73">
        <v>1</v>
      </c>
      <c r="D30" s="73">
        <v>2</v>
      </c>
      <c r="E30" s="73">
        <v>3</v>
      </c>
      <c r="F30" s="73">
        <v>4</v>
      </c>
      <c r="G30" s="73">
        <v>5</v>
      </c>
      <c r="H30" s="73">
        <v>6</v>
      </c>
      <c r="I30" s="73">
        <v>7</v>
      </c>
      <c r="J30" s="73">
        <v>8</v>
      </c>
      <c r="K30" s="73">
        <v>9</v>
      </c>
      <c r="L30" s="73">
        <v>10</v>
      </c>
      <c r="M30" s="72" t="s">
        <v>74</v>
      </c>
    </row>
    <row r="31" spans="1:40" ht="21.75" thickTop="1" thickBot="1" x14ac:dyDescent="0.35">
      <c r="A31" s="74" t="s">
        <v>85</v>
      </c>
      <c r="B31" s="75"/>
      <c r="C31" s="76">
        <f>+C10/12</f>
        <v>300.58469933284096</v>
      </c>
      <c r="D31" s="76">
        <f t="shared" ref="D31:L31" si="0">+D10/12</f>
        <v>513.91822255563</v>
      </c>
      <c r="E31" s="76">
        <f t="shared" si="0"/>
        <v>274.5354770200338</v>
      </c>
      <c r="F31" s="76">
        <f t="shared" si="0"/>
        <v>498.54369834918316</v>
      </c>
      <c r="G31" s="76">
        <f t="shared" si="0"/>
        <v>120.96548829658525</v>
      </c>
      <c r="H31" s="76">
        <f t="shared" si="0"/>
        <v>77.292476772102916</v>
      </c>
      <c r="I31" s="76">
        <f t="shared" si="0"/>
        <v>108.37325687871572</v>
      </c>
      <c r="J31" s="76">
        <f t="shared" si="0"/>
        <v>200.91828426046877</v>
      </c>
      <c r="K31" s="76">
        <f t="shared" si="0"/>
        <v>421.79443650695822</v>
      </c>
      <c r="L31" s="76">
        <f t="shared" si="0"/>
        <v>470.9161466472824</v>
      </c>
      <c r="M31" s="76">
        <f>SUM(C31:L31)</f>
        <v>2987.8421866198014</v>
      </c>
    </row>
    <row r="32" spans="1:40" ht="21.75" thickTop="1" thickBot="1" x14ac:dyDescent="0.35">
      <c r="A32" s="74" t="s">
        <v>86</v>
      </c>
      <c r="B32" s="75"/>
      <c r="C32" s="76">
        <f>+C17</f>
        <v>294.5</v>
      </c>
      <c r="D32" s="76">
        <f t="shared" ref="D32:L32" si="1">+D17</f>
        <v>537.79999999999995</v>
      </c>
      <c r="E32" s="76">
        <f t="shared" si="1"/>
        <v>155.26999999999998</v>
      </c>
      <c r="F32" s="76">
        <f t="shared" si="1"/>
        <v>375.70699999999999</v>
      </c>
      <c r="G32" s="76">
        <f t="shared" si="1"/>
        <v>606.81000000000006</v>
      </c>
      <c r="H32" s="76">
        <f t="shared" si="1"/>
        <v>147</v>
      </c>
      <c r="I32" s="76">
        <f t="shared" si="1"/>
        <v>195.98</v>
      </c>
      <c r="J32" s="76">
        <f t="shared" si="1"/>
        <v>260</v>
      </c>
      <c r="K32" s="76">
        <f t="shared" si="1"/>
        <v>792.53</v>
      </c>
      <c r="L32" s="76">
        <f t="shared" si="1"/>
        <v>252.17</v>
      </c>
      <c r="M32" s="76">
        <f t="shared" ref="M32" si="2">SUM(C32:L32)</f>
        <v>3617.7669999999998</v>
      </c>
    </row>
    <row r="33" spans="1:16" ht="21.75" thickTop="1" thickBot="1" x14ac:dyDescent="0.35">
      <c r="A33" s="74" t="s">
        <v>87</v>
      </c>
      <c r="B33" s="75"/>
      <c r="C33" s="77">
        <f>C31/C32</f>
        <v>1.020661118277898</v>
      </c>
      <c r="D33" s="77">
        <f>D31/D32</f>
        <v>0.95559357113356269</v>
      </c>
      <c r="E33" s="77">
        <f t="shared" ref="E33:L33" si="3">E31/E32</f>
        <v>1.7681166807498798</v>
      </c>
      <c r="F33" s="77">
        <f t="shared" si="3"/>
        <v>1.3269481227370881</v>
      </c>
      <c r="G33" s="77">
        <f t="shared" si="3"/>
        <v>0.19934656366339584</v>
      </c>
      <c r="H33" s="77">
        <f t="shared" si="3"/>
        <v>0.52579916171498586</v>
      </c>
      <c r="I33" s="77">
        <f t="shared" si="3"/>
        <v>0.55298120664718708</v>
      </c>
      <c r="J33" s="77">
        <f t="shared" si="3"/>
        <v>0.77276263177103377</v>
      </c>
      <c r="K33" s="77">
        <f t="shared" si="3"/>
        <v>0.53221258060509791</v>
      </c>
      <c r="L33" s="77">
        <f t="shared" si="3"/>
        <v>1.8674550765248936</v>
      </c>
      <c r="M33" s="77">
        <f>M31/M32</f>
        <v>0.82588021467933159</v>
      </c>
    </row>
    <row r="34" spans="1:16" ht="21.75" thickTop="1" thickBot="1" x14ac:dyDescent="0.35">
      <c r="A34" s="74" t="s">
        <v>88</v>
      </c>
      <c r="B34" s="75"/>
      <c r="C34" s="78">
        <f>(C33-C25)/C25</f>
        <v>0</v>
      </c>
      <c r="D34" s="78">
        <f>(D33-D25)/D25</f>
        <v>0</v>
      </c>
      <c r="E34" s="78">
        <f t="shared" ref="E34:K34" si="4">(E33-E25)/E25</f>
        <v>0</v>
      </c>
      <c r="F34" s="78">
        <f t="shared" si="4"/>
        <v>0</v>
      </c>
      <c r="G34" s="78">
        <f t="shared" si="4"/>
        <v>0</v>
      </c>
      <c r="H34" s="78">
        <f t="shared" si="4"/>
        <v>0</v>
      </c>
      <c r="I34" s="78">
        <f t="shared" si="4"/>
        <v>0</v>
      </c>
      <c r="J34" s="78">
        <f t="shared" si="4"/>
        <v>1.4366934670232746E-16</v>
      </c>
      <c r="K34" s="78">
        <f t="shared" si="4"/>
        <v>0</v>
      </c>
      <c r="L34" s="78">
        <f>(L33-L25)/L25</f>
        <v>0</v>
      </c>
      <c r="M34" s="78"/>
    </row>
    <row r="35" spans="1:16" customFormat="1" ht="15.75" thickTop="1" x14ac:dyDescent="0.25"/>
    <row r="36" spans="1:16" customFormat="1" ht="15" x14ac:dyDescent="0.25"/>
    <row r="37" spans="1:16" ht="24" thickBot="1" x14ac:dyDescent="0.35">
      <c r="A37" s="93">
        <v>43647</v>
      </c>
      <c r="B37" s="72" t="s">
        <v>3</v>
      </c>
      <c r="C37" s="73">
        <v>1</v>
      </c>
      <c r="D37" s="73">
        <v>2</v>
      </c>
      <c r="E37" s="73">
        <v>3</v>
      </c>
      <c r="F37" s="73">
        <v>4</v>
      </c>
      <c r="G37" s="73">
        <v>5</v>
      </c>
      <c r="H37" s="73">
        <v>6</v>
      </c>
      <c r="I37" s="73">
        <v>7</v>
      </c>
      <c r="J37" s="73">
        <v>8</v>
      </c>
      <c r="K37" s="73">
        <v>9</v>
      </c>
      <c r="L37" s="73">
        <v>10</v>
      </c>
      <c r="M37" s="72" t="s">
        <v>74</v>
      </c>
    </row>
    <row r="38" spans="1:16" ht="21.75" thickTop="1" thickBot="1" x14ac:dyDescent="0.35">
      <c r="A38" s="74" t="s">
        <v>89</v>
      </c>
      <c r="B38" s="75"/>
      <c r="C38" s="76">
        <f>138527.117674107/1000</f>
        <v>138.52711767410699</v>
      </c>
      <c r="D38" s="76">
        <f>964633.151887776/1000</f>
        <v>964.63315188777597</v>
      </c>
      <c r="E38" s="76">
        <f>110538.162317936/1000</f>
        <v>110.538162317936</v>
      </c>
      <c r="F38" s="76">
        <f>201631.917777435/1000</f>
        <v>201.63191777743501</v>
      </c>
      <c r="G38" s="76">
        <f>280298.776981309/1000</f>
        <v>280.298776981309</v>
      </c>
      <c r="H38" s="76">
        <f>96113.11377305/1000</f>
        <v>96.113113773050003</v>
      </c>
      <c r="I38" s="76">
        <f>114320.937840726/1000</f>
        <v>114.32093784072599</v>
      </c>
      <c r="J38" s="76">
        <f>194807.692260875/1000</f>
        <v>194.807692260875</v>
      </c>
      <c r="K38" s="76">
        <f>772675.791860319/1000</f>
        <v>772.67579186031901</v>
      </c>
      <c r="L38" s="76">
        <f>223982.794577988/1000</f>
        <v>223.98279457798802</v>
      </c>
      <c r="M38" s="76">
        <f>SUM(C38:L38)</f>
        <v>3097.5294569515208</v>
      </c>
      <c r="N38" s="55"/>
    </row>
    <row r="39" spans="1:16" ht="21.75" thickTop="1" thickBot="1" x14ac:dyDescent="0.35">
      <c r="A39" s="74" t="s">
        <v>86</v>
      </c>
      <c r="B39" s="75"/>
      <c r="C39" s="76">
        <v>202.9</v>
      </c>
      <c r="D39" s="76">
        <v>537.79999999999995</v>
      </c>
      <c r="E39" s="76">
        <v>117.21000000000001</v>
      </c>
      <c r="F39" s="76">
        <v>177.56</v>
      </c>
      <c r="G39" s="76">
        <v>260.95</v>
      </c>
      <c r="H39" s="76">
        <v>147</v>
      </c>
      <c r="I39" s="76">
        <v>176.85000000000002</v>
      </c>
      <c r="J39" s="76">
        <v>260</v>
      </c>
      <c r="K39" s="76">
        <v>1118.05</v>
      </c>
      <c r="L39" s="76">
        <v>252.17</v>
      </c>
      <c r="M39" s="76">
        <f>SUM(C39:L39)</f>
        <v>3250.49</v>
      </c>
      <c r="N39" s="55"/>
    </row>
    <row r="40" spans="1:16" ht="21.75" thickTop="1" thickBot="1" x14ac:dyDescent="0.35">
      <c r="A40" s="74" t="s">
        <v>90</v>
      </c>
      <c r="B40" s="75"/>
      <c r="C40" s="77">
        <f>C38/C39</f>
        <v>0.68273591756583041</v>
      </c>
      <c r="D40" s="77">
        <f t="shared" ref="D40:L40" si="5">D38/D39</f>
        <v>1.7936652136254667</v>
      </c>
      <c r="E40" s="77">
        <f t="shared" si="5"/>
        <v>0.94307791415353637</v>
      </c>
      <c r="F40" s="77">
        <f t="shared" si="5"/>
        <v>1.135570611497156</v>
      </c>
      <c r="G40" s="77">
        <f t="shared" si="5"/>
        <v>1.0741474496313816</v>
      </c>
      <c r="H40" s="77">
        <f t="shared" si="5"/>
        <v>0.65383070593911563</v>
      </c>
      <c r="I40" s="77">
        <f t="shared" si="5"/>
        <v>0.64642882578866823</v>
      </c>
      <c r="J40" s="77">
        <f t="shared" si="5"/>
        <v>0.74926035484951925</v>
      </c>
      <c r="K40" s="77">
        <f t="shared" si="5"/>
        <v>0.69109234100471273</v>
      </c>
      <c r="L40" s="77">
        <f t="shared" si="5"/>
        <v>0.88822141641744867</v>
      </c>
      <c r="M40" s="77">
        <f>M38/M39</f>
        <v>0.95294231237491001</v>
      </c>
      <c r="N40" s="55"/>
      <c r="P40" s="80"/>
    </row>
    <row r="41" spans="1:16" ht="21.75" thickTop="1" thickBot="1" x14ac:dyDescent="0.35">
      <c r="A41" s="74" t="s">
        <v>88</v>
      </c>
      <c r="B41" s="75"/>
      <c r="C41" s="78">
        <f>(C40-$C$33)/$C$33</f>
        <v>-0.33108462217335077</v>
      </c>
      <c r="D41" s="78">
        <f>(D40-$D$33)/$D$33</f>
        <v>0.87701682787353885</v>
      </c>
      <c r="E41" s="78">
        <f>(E40-$E$33)/$E$33</f>
        <v>-0.46662009107138475</v>
      </c>
      <c r="F41" s="78">
        <f>(F40-$F$33)/$F$33</f>
        <v>-0.14422380797011025</v>
      </c>
      <c r="G41" s="78">
        <f>(G40-$G$33)/$G$33</f>
        <v>4.3883419402459323</v>
      </c>
      <c r="H41" s="78">
        <f>(H40-$H$33)/$H$33</f>
        <v>0.24349895082854928</v>
      </c>
      <c r="I41" s="78">
        <f>(I40-$I$33)/$I$33</f>
        <v>0.1689887793982528</v>
      </c>
      <c r="J41" s="78">
        <f>(J40-$J$33)/$J$33</f>
        <v>-3.0413319634324844E-2</v>
      </c>
      <c r="K41" s="78">
        <f>(K40-$K$33)/$K$33</f>
        <v>0.29852687852469934</v>
      </c>
      <c r="L41" s="78">
        <f>(L40-$L$33)/$L$33</f>
        <v>-0.52436798743757707</v>
      </c>
      <c r="M41" s="78">
        <f>(M40-$M$33)/$M$33</f>
        <v>0.15385051662112212</v>
      </c>
      <c r="N41" s="55"/>
    </row>
    <row r="42" spans="1:16" ht="21" thickTop="1" x14ac:dyDescent="0.3"/>
    <row r="43" spans="1:16" ht="21" thickBot="1" x14ac:dyDescent="0.35">
      <c r="A43" s="71">
        <v>43678</v>
      </c>
      <c r="B43" s="72" t="s">
        <v>3</v>
      </c>
      <c r="C43" s="73">
        <v>1</v>
      </c>
      <c r="D43" s="73">
        <v>2</v>
      </c>
      <c r="E43" s="73">
        <v>3</v>
      </c>
      <c r="F43" s="73">
        <v>4</v>
      </c>
      <c r="G43" s="73">
        <v>5</v>
      </c>
      <c r="H43" s="73">
        <v>6</v>
      </c>
      <c r="I43" s="73">
        <v>7</v>
      </c>
      <c r="J43" s="73">
        <v>8</v>
      </c>
      <c r="K43" s="73">
        <v>9</v>
      </c>
      <c r="L43" s="73">
        <v>10</v>
      </c>
      <c r="M43" s="72" t="s">
        <v>74</v>
      </c>
    </row>
    <row r="44" spans="1:16" ht="21.75" thickTop="1" thickBot="1" x14ac:dyDescent="0.35">
      <c r="A44" s="74" t="s">
        <v>89</v>
      </c>
      <c r="B44" s="75"/>
      <c r="C44" s="76">
        <f>152333.83572/1000</f>
        <v>152.33383572</v>
      </c>
      <c r="D44" s="76">
        <f>996457.69631446/1000</f>
        <v>996.45769631446001</v>
      </c>
      <c r="E44" s="76">
        <f>136233.955968396/1000</f>
        <v>136.233955968396</v>
      </c>
      <c r="F44" s="76">
        <f>178390.351569135/1000</f>
        <v>178.39035156913499</v>
      </c>
      <c r="G44" s="76">
        <f>255963.168547301/1000</f>
        <v>255.963168547301</v>
      </c>
      <c r="H44" s="76">
        <f>98844.87127494/1000</f>
        <v>98.844871274940004</v>
      </c>
      <c r="I44" s="76">
        <f>112281.087802615/1000</f>
        <v>112.281087802615</v>
      </c>
      <c r="J44" s="76">
        <f>228713.8263196/1000</f>
        <v>228.7138263196</v>
      </c>
      <c r="K44" s="76">
        <f>753628.678602394/1000</f>
        <v>753.62867860239396</v>
      </c>
      <c r="L44" s="76">
        <f>175570.4012315/1000</f>
        <v>175.5704012315</v>
      </c>
      <c r="M44" s="76">
        <f t="shared" ref="M44" si="6">SUM(C44:L44)</f>
        <v>3088.4178733503409</v>
      </c>
    </row>
    <row r="45" spans="1:16" ht="21.75" thickTop="1" thickBot="1" x14ac:dyDescent="0.35">
      <c r="A45" s="74" t="s">
        <v>86</v>
      </c>
      <c r="B45" s="75"/>
      <c r="C45" s="76">
        <v>202.9</v>
      </c>
      <c r="D45" s="76">
        <v>537.79999999999995</v>
      </c>
      <c r="E45" s="76">
        <v>117.21000000000001</v>
      </c>
      <c r="F45" s="76">
        <v>177.56</v>
      </c>
      <c r="G45" s="76">
        <v>260.95</v>
      </c>
      <c r="H45" s="76">
        <v>147</v>
      </c>
      <c r="I45" s="76">
        <v>176.85000000000002</v>
      </c>
      <c r="J45" s="76">
        <v>260</v>
      </c>
      <c r="K45" s="76">
        <v>1118.05</v>
      </c>
      <c r="L45" s="76">
        <v>252.17</v>
      </c>
      <c r="M45" s="76">
        <f t="shared" ref="M45" si="7">SUM(C45:L45)</f>
        <v>3250.49</v>
      </c>
    </row>
    <row r="46" spans="1:16" ht="21.75" thickTop="1" thickBot="1" x14ac:dyDescent="0.35">
      <c r="A46" s="74" t="s">
        <v>90</v>
      </c>
      <c r="B46" s="75"/>
      <c r="C46" s="77">
        <f>C44/C45</f>
        <v>0.75078282759980286</v>
      </c>
      <c r="D46" s="77">
        <f t="shared" ref="D46:L46" si="8">D44/D45</f>
        <v>1.8528406402277056</v>
      </c>
      <c r="E46" s="77">
        <f t="shared" si="8"/>
        <v>1.1623065947307909</v>
      </c>
      <c r="F46" s="77">
        <f t="shared" si="8"/>
        <v>1.0046764562352726</v>
      </c>
      <c r="G46" s="77">
        <f t="shared" si="8"/>
        <v>0.9808897051055796</v>
      </c>
      <c r="H46" s="77">
        <f t="shared" si="8"/>
        <v>0.67241409030571431</v>
      </c>
      <c r="I46" s="77">
        <f t="shared" si="8"/>
        <v>0.63489447442813118</v>
      </c>
      <c r="J46" s="77">
        <f t="shared" si="8"/>
        <v>0.87966856276769234</v>
      </c>
      <c r="K46" s="77">
        <f t="shared" si="8"/>
        <v>0.67405632896775103</v>
      </c>
      <c r="L46" s="77">
        <f t="shared" si="8"/>
        <v>0.69623825685648577</v>
      </c>
      <c r="M46" s="77">
        <f>M44/M45</f>
        <v>0.95013917081742782</v>
      </c>
    </row>
    <row r="47" spans="1:16" ht="21.75" thickTop="1" thickBot="1" x14ac:dyDescent="0.35">
      <c r="A47" s="74" t="s">
        <v>88</v>
      </c>
      <c r="B47" s="75"/>
      <c r="C47" s="78">
        <f t="shared" ref="C47" si="9">(C46-$C$33)/$C$33</f>
        <v>-0.26441517742288939</v>
      </c>
      <c r="D47" s="78">
        <f t="shared" ref="D47" si="10">(D46-$D$33)/$D$33</f>
        <v>0.93894213627849454</v>
      </c>
      <c r="E47" s="78">
        <f t="shared" ref="E47" si="11">(E46-$E$33)/$E$33</f>
        <v>-0.34263015140050457</v>
      </c>
      <c r="F47" s="78">
        <f t="shared" ref="F47" si="12">(F46-$F$33)/$F$33</f>
        <v>-0.24286681670498739</v>
      </c>
      <c r="G47" s="78">
        <f t="shared" ref="G47" si="13">(G46-$G$33)/$G$33</f>
        <v>3.9205247739401652</v>
      </c>
      <c r="H47" s="78">
        <f t="shared" ref="H47" si="14">(H46-$H$33)/$H$33</f>
        <v>0.27884207367793862</v>
      </c>
      <c r="I47" s="78">
        <f t="shared" ref="I47" si="15">(I46-$I$33)/$I$33</f>
        <v>0.14813029230703381</v>
      </c>
      <c r="J47" s="78">
        <f t="shared" ref="J47" si="16">(J46-$J$33)/$J$33</f>
        <v>0.13834252149544199</v>
      </c>
      <c r="K47" s="78">
        <f t="shared" ref="K47" si="17">(K46-$K$33)/$K$33</f>
        <v>0.26651709022245246</v>
      </c>
      <c r="L47" s="78">
        <f t="shared" ref="L47" si="18">(L46-$L$33)/$L$33</f>
        <v>-0.6271726877885061</v>
      </c>
      <c r="M47" s="78">
        <f t="shared" ref="M47" si="19">(M46-$M$33)/$M$33</f>
        <v>0.15045639056305865</v>
      </c>
    </row>
    <row r="48" spans="1:16" ht="21" thickTop="1" x14ac:dyDescent="0.3"/>
    <row r="49" spans="1:13" ht="21" thickBot="1" x14ac:dyDescent="0.35">
      <c r="A49" s="71">
        <v>43709</v>
      </c>
      <c r="B49" s="72" t="s">
        <v>3</v>
      </c>
      <c r="C49" s="73">
        <v>1</v>
      </c>
      <c r="D49" s="73">
        <v>2</v>
      </c>
      <c r="E49" s="73">
        <v>3</v>
      </c>
      <c r="F49" s="73">
        <v>4</v>
      </c>
      <c r="G49" s="73">
        <v>5</v>
      </c>
      <c r="H49" s="73">
        <v>6</v>
      </c>
      <c r="I49" s="73">
        <v>7</v>
      </c>
      <c r="J49" s="73">
        <v>8</v>
      </c>
      <c r="K49" s="73">
        <v>9</v>
      </c>
      <c r="L49" s="73">
        <v>10</v>
      </c>
      <c r="M49" s="72" t="s">
        <v>74</v>
      </c>
    </row>
    <row r="50" spans="1:13" ht="21.75" thickTop="1" thickBot="1" x14ac:dyDescent="0.35">
      <c r="A50" s="74" t="s">
        <v>89</v>
      </c>
      <c r="B50" s="75"/>
      <c r="C50" s="76">
        <f>185480.04988/1000</f>
        <v>185.48004988</v>
      </c>
      <c r="D50" s="76">
        <f>812787.092523824/1000</f>
        <v>812.78709252382396</v>
      </c>
      <c r="E50" s="76">
        <f>164730.652512976/1000</f>
        <v>164.73065251297601</v>
      </c>
      <c r="F50" s="76">
        <f>237883.440382223/1000</f>
        <v>237.883440382223</v>
      </c>
      <c r="G50" s="76">
        <f>193604.836690305/1000</f>
        <v>193.60483669030501</v>
      </c>
      <c r="H50" s="76">
        <f>98953.00187562/1000</f>
        <v>98.953001875620004</v>
      </c>
      <c r="I50" s="76">
        <f>108442.249769358/1000</f>
        <v>108.442249769358</v>
      </c>
      <c r="J50" s="76">
        <f>153488.688374025/1000</f>
        <v>153.488688374025</v>
      </c>
      <c r="K50" s="76">
        <f>749120.740542813/1000</f>
        <v>749.120740542813</v>
      </c>
      <c r="L50" s="76">
        <f>183442.904483502/1000</f>
        <v>183.44290448350199</v>
      </c>
      <c r="M50" s="76">
        <f t="shared" ref="M50" si="20">SUM(C50:L50)</f>
        <v>2887.9336570346463</v>
      </c>
    </row>
    <row r="51" spans="1:13" ht="21.75" thickTop="1" thickBot="1" x14ac:dyDescent="0.35">
      <c r="A51" s="74" t="s">
        <v>86</v>
      </c>
      <c r="B51" s="75"/>
      <c r="C51" s="76">
        <v>202.9</v>
      </c>
      <c r="D51" s="76">
        <v>537.79999999999995</v>
      </c>
      <c r="E51" s="76">
        <v>117.21000000000001</v>
      </c>
      <c r="F51" s="76">
        <v>177.56</v>
      </c>
      <c r="G51" s="76">
        <v>200.71</v>
      </c>
      <c r="H51" s="76">
        <v>147</v>
      </c>
      <c r="I51" s="76">
        <v>176.85000000000002</v>
      </c>
      <c r="J51" s="76">
        <v>260</v>
      </c>
      <c r="K51" s="76">
        <v>1118.05</v>
      </c>
      <c r="L51" s="76">
        <v>252.17</v>
      </c>
      <c r="M51" s="76">
        <f t="shared" ref="M51" si="21">SUM(C51:L51)</f>
        <v>3190.25</v>
      </c>
    </row>
    <row r="52" spans="1:13" ht="21.75" thickTop="1" thickBot="1" x14ac:dyDescent="0.35">
      <c r="A52" s="74" t="s">
        <v>90</v>
      </c>
      <c r="B52" s="75"/>
      <c r="C52" s="77">
        <f>C50/C51</f>
        <v>0.91414514480039422</v>
      </c>
      <c r="D52" s="77">
        <f t="shared" ref="D52:L52" si="22">D50/D51</f>
        <v>1.5113185059944665</v>
      </c>
      <c r="E52" s="77">
        <f t="shared" si="22"/>
        <v>1.4054317252194863</v>
      </c>
      <c r="F52" s="77">
        <f t="shared" si="22"/>
        <v>1.3397355281720151</v>
      </c>
      <c r="G52" s="77">
        <f t="shared" si="22"/>
        <v>0.96459985396993175</v>
      </c>
      <c r="H52" s="77">
        <f t="shared" si="22"/>
        <v>0.6731496726232653</v>
      </c>
      <c r="I52" s="77">
        <f t="shared" si="22"/>
        <v>0.6131877284102798</v>
      </c>
      <c r="J52" s="77">
        <f t="shared" si="22"/>
        <v>0.59034110913086535</v>
      </c>
      <c r="K52" s="77">
        <f t="shared" si="22"/>
        <v>0.67002436433327039</v>
      </c>
      <c r="L52" s="77">
        <f t="shared" si="22"/>
        <v>0.72745728866836656</v>
      </c>
      <c r="M52" s="77">
        <f>M50/M51</f>
        <v>0.90523741306626326</v>
      </c>
    </row>
    <row r="53" spans="1:13" ht="21.75" thickTop="1" thickBot="1" x14ac:dyDescent="0.35">
      <c r="A53" s="74" t="s">
        <v>88</v>
      </c>
      <c r="B53" s="75"/>
      <c r="C53" s="78">
        <f t="shared" ref="C53" si="23">(C52-$C$33)/$C$33</f>
        <v>-0.10435978364417559</v>
      </c>
      <c r="D53" s="78">
        <f t="shared" ref="D53" si="24">(D52-$D$33)/$D$33</f>
        <v>0.58154947003429613</v>
      </c>
      <c r="E53" s="78">
        <f t="shared" ref="E53" si="25">(E52-$E$33)/$E$33</f>
        <v>-0.20512501209850834</v>
      </c>
      <c r="F53" s="78">
        <f t="shared" ref="F53" si="26">(F52-$F$33)/$F$33</f>
        <v>9.6367033615078809E-3</v>
      </c>
      <c r="G53" s="78">
        <f t="shared" ref="G53" si="27">(G52-$G$33)/$G$33</f>
        <v>3.8388085364676505</v>
      </c>
      <c r="H53" s="78">
        <f t="shared" ref="H53" si="28">(H52-$H$33)/$H$33</f>
        <v>0.28024105330953741</v>
      </c>
      <c r="I53" s="78">
        <f t="shared" ref="I53" si="29">(I52-$I$33)/$I$33</f>
        <v>0.10887625300710384</v>
      </c>
      <c r="J53" s="78">
        <f t="shared" ref="J53" si="30">(J52-$J$33)/$J$33</f>
        <v>-0.23606410965045102</v>
      </c>
      <c r="K53" s="78">
        <f>(K52-$K$33)/$K$33</f>
        <v>0.25894123654778639</v>
      </c>
      <c r="L53" s="78">
        <f t="shared" ref="L53" si="31">(L52-$L$33)/$L$33</f>
        <v>-0.61045526727096644</v>
      </c>
      <c r="M53" s="78">
        <f t="shared" ref="M53" si="32">(M52-$M$33)/$M$33</f>
        <v>9.6088024602628441E-2</v>
      </c>
    </row>
    <row r="54" spans="1:13" ht="21" thickTop="1" x14ac:dyDescent="0.3"/>
    <row r="55" spans="1:13" ht="21" thickBot="1" x14ac:dyDescent="0.35">
      <c r="A55" s="71">
        <v>43739</v>
      </c>
      <c r="B55" s="72" t="s">
        <v>3</v>
      </c>
      <c r="C55" s="73">
        <v>1</v>
      </c>
      <c r="D55" s="73">
        <v>2</v>
      </c>
      <c r="E55" s="73">
        <v>3</v>
      </c>
      <c r="F55" s="73">
        <v>4</v>
      </c>
      <c r="G55" s="73">
        <v>5</v>
      </c>
      <c r="H55" s="73">
        <v>6</v>
      </c>
      <c r="I55" s="73">
        <v>7</v>
      </c>
      <c r="J55" s="73">
        <v>8</v>
      </c>
      <c r="K55" s="73">
        <v>9</v>
      </c>
      <c r="L55" s="73">
        <v>10</v>
      </c>
      <c r="M55" s="72" t="s">
        <v>74</v>
      </c>
    </row>
    <row r="56" spans="1:13" ht="21.75" thickTop="1" thickBot="1" x14ac:dyDescent="0.35">
      <c r="A56" s="74" t="s">
        <v>89</v>
      </c>
      <c r="B56" s="75"/>
      <c r="C56" s="76">
        <v>311.71943690999996</v>
      </c>
      <c r="D56" s="76">
        <v>670.67609737179441</v>
      </c>
      <c r="E56" s="76">
        <v>205.94445080077497</v>
      </c>
      <c r="F56" s="76">
        <v>296.75025974411648</v>
      </c>
      <c r="G56" s="76">
        <v>163.29166638722498</v>
      </c>
      <c r="H56" s="76">
        <v>83.936999999999998</v>
      </c>
      <c r="I56" s="76">
        <v>103.3101284866476</v>
      </c>
      <c r="J56" s="76">
        <v>148.45999999999998</v>
      </c>
      <c r="K56" s="76">
        <v>751.57386328291011</v>
      </c>
      <c r="L56" s="76">
        <v>218.997524789468</v>
      </c>
      <c r="M56" s="76">
        <f t="shared" ref="M56" si="33">SUM(C56:L56)</f>
        <v>2954.6604277729366</v>
      </c>
    </row>
    <row r="57" spans="1:13" ht="21.75" thickTop="1" thickBot="1" x14ac:dyDescent="0.35">
      <c r="A57" s="74" t="s">
        <v>86</v>
      </c>
      <c r="B57" s="75"/>
      <c r="C57" s="76">
        <v>202.9</v>
      </c>
      <c r="D57" s="76">
        <v>537.79999999999995</v>
      </c>
      <c r="E57" s="76">
        <v>117.21000000000001</v>
      </c>
      <c r="F57" s="76">
        <v>177.56</v>
      </c>
      <c r="G57" s="76">
        <v>204.68951999999999</v>
      </c>
      <c r="H57" s="76">
        <v>147</v>
      </c>
      <c r="I57" s="76">
        <v>176.85000000000002</v>
      </c>
      <c r="J57" s="76">
        <v>260</v>
      </c>
      <c r="K57" s="76">
        <v>1118.05</v>
      </c>
      <c r="L57" s="76">
        <v>252.17</v>
      </c>
      <c r="M57" s="76">
        <f t="shared" ref="M57" si="34">SUM(C57:L57)</f>
        <v>3194.2295199999999</v>
      </c>
    </row>
    <row r="58" spans="1:13" ht="21.75" thickTop="1" thickBot="1" x14ac:dyDescent="0.35">
      <c r="A58" s="74" t="s">
        <v>90</v>
      </c>
      <c r="B58" s="75"/>
      <c r="C58" s="77">
        <f>C56/C57</f>
        <v>1.53632053676688</v>
      </c>
      <c r="D58" s="77">
        <f t="shared" ref="D58:L58" si="35">D56/D57</f>
        <v>1.2470734424912504</v>
      </c>
      <c r="E58" s="77">
        <f t="shared" si="35"/>
        <v>1.757055292217174</v>
      </c>
      <c r="F58" s="77">
        <f t="shared" si="35"/>
        <v>1.6712675137650173</v>
      </c>
      <c r="G58" s="77">
        <f t="shared" si="35"/>
        <v>0.79775294009788578</v>
      </c>
      <c r="H58" s="77">
        <f t="shared" si="35"/>
        <v>0.57099999999999995</v>
      </c>
      <c r="I58" s="77">
        <f t="shared" si="35"/>
        <v>0.58416810000931629</v>
      </c>
      <c r="J58" s="77">
        <f t="shared" si="35"/>
        <v>0.57099999999999995</v>
      </c>
      <c r="K58" s="77">
        <f t="shared" si="35"/>
        <v>0.67221847259327416</v>
      </c>
      <c r="L58" s="77">
        <f t="shared" si="35"/>
        <v>0.86845193635035101</v>
      </c>
      <c r="M58" s="77">
        <f>M56/M57</f>
        <v>0.92499941199370572</v>
      </c>
    </row>
    <row r="59" spans="1:13" ht="21.75" thickTop="1" thickBot="1" x14ac:dyDescent="0.35">
      <c r="A59" s="74" t="s">
        <v>88</v>
      </c>
      <c r="B59" s="75"/>
      <c r="C59" s="78">
        <f t="shared" ref="C59" si="36">(C58-$C$33)/$C$33</f>
        <v>0.50522098790147318</v>
      </c>
      <c r="D59" s="78">
        <f t="shared" ref="D59" si="37">(D58-$D$33)/$D$33</f>
        <v>0.30502493964240762</v>
      </c>
      <c r="E59" s="78">
        <f t="shared" ref="E59" si="38">(E58-$E$33)/$E$33</f>
        <v>-6.2560286055411817E-3</v>
      </c>
      <c r="F59" s="78">
        <f t="shared" ref="F59" si="39">(F58-$F$33)/$F$33</f>
        <v>0.25948217954271158</v>
      </c>
      <c r="G59" s="78">
        <f t="shared" ref="G59" si="40">(G58-$G$33)/$G$33</f>
        <v>3.0018394369963737</v>
      </c>
      <c r="H59" s="78">
        <f t="shared" ref="H59" si="41">(H58-$H$33)/$H$33</f>
        <v>8.5965976319900647E-2</v>
      </c>
      <c r="I59" s="78">
        <f t="shared" ref="I59" si="42">(I58-$I$33)/$I$33</f>
        <v>5.6397745506072981E-2</v>
      </c>
      <c r="J59" s="78">
        <f t="shared" ref="J59" si="43">(J58-$J$33)/$J$33</f>
        <v>-0.26109263501604618</v>
      </c>
      <c r="K59" s="78">
        <f>(K58-$K$33)/$K$33</f>
        <v>0.26306385284804218</v>
      </c>
      <c r="L59" s="78">
        <f t="shared" ref="L59" si="44">(L58-$L$33)/$L$33</f>
        <v>-0.53495430906620023</v>
      </c>
      <c r="M59" s="78">
        <f>(M58-$M$33)/$M$33</f>
        <v>0.1200164328344633</v>
      </c>
    </row>
    <row r="60" spans="1:13" ht="21" thickTop="1" x14ac:dyDescent="0.3"/>
    <row r="61" spans="1:13" ht="21" thickBot="1" x14ac:dyDescent="0.35">
      <c r="A61" s="71">
        <v>43770</v>
      </c>
      <c r="B61" s="72" t="s">
        <v>3</v>
      </c>
      <c r="C61" s="73">
        <v>1</v>
      </c>
      <c r="D61" s="73">
        <v>2</v>
      </c>
      <c r="E61" s="73">
        <v>3</v>
      </c>
      <c r="F61" s="73">
        <v>4</v>
      </c>
      <c r="G61" s="73">
        <v>5</v>
      </c>
      <c r="H61" s="73">
        <v>6</v>
      </c>
      <c r="I61" s="73">
        <v>7</v>
      </c>
      <c r="J61" s="73">
        <v>8</v>
      </c>
      <c r="K61" s="73">
        <v>9</v>
      </c>
      <c r="L61" s="73">
        <v>10</v>
      </c>
      <c r="M61" s="72" t="s">
        <v>74</v>
      </c>
    </row>
    <row r="62" spans="1:13" ht="21.75" thickTop="1" thickBot="1" x14ac:dyDescent="0.35">
      <c r="A62" s="74" t="s">
        <v>89</v>
      </c>
      <c r="B62" s="75"/>
      <c r="C62" s="76">
        <f>147632.23324/1000</f>
        <v>147.63223324000001</v>
      </c>
      <c r="D62" s="76">
        <f>930831.333497664/1000</f>
        <v>930.83133349766399</v>
      </c>
      <c r="E62" s="76">
        <f>65654.141662656/1000</f>
        <v>65.654141662655988</v>
      </c>
      <c r="F62" s="76">
        <f>234907.967511762/1000</f>
        <v>234.907967511762</v>
      </c>
      <c r="G62" s="76">
        <f>183929.121983095/1000</f>
        <v>183.929121983095</v>
      </c>
      <c r="H62" s="76">
        <f>91346.635710054/1000</f>
        <v>91.346635710054002</v>
      </c>
      <c r="I62" s="76">
        <f>97447.3022187066/1000</f>
        <v>97.447302218706596</v>
      </c>
      <c r="J62" s="76">
        <f>168306.517886954/1000</f>
        <v>168.306517886954</v>
      </c>
      <c r="K62" s="76">
        <f>722570.516102925/1000</f>
        <v>722.5705161029249</v>
      </c>
      <c r="L62" s="76">
        <f>169118.992571493/1000</f>
        <v>169.11899257149301</v>
      </c>
      <c r="M62" s="76">
        <f>SUM(C62:L62)</f>
        <v>2811.7447623853095</v>
      </c>
    </row>
    <row r="63" spans="1:13" ht="21.75" thickTop="1" thickBot="1" x14ac:dyDescent="0.35">
      <c r="A63" s="74" t="s">
        <v>86</v>
      </c>
      <c r="B63" s="75"/>
      <c r="C63" s="76">
        <v>202.9</v>
      </c>
      <c r="D63" s="76">
        <v>537.79999999999995</v>
      </c>
      <c r="E63" s="76">
        <v>117.21000000000001</v>
      </c>
      <c r="F63" s="76">
        <v>177.56</v>
      </c>
      <c r="G63" s="76">
        <v>204.69</v>
      </c>
      <c r="H63" s="76">
        <v>147</v>
      </c>
      <c r="I63" s="76">
        <v>176.85000000000002</v>
      </c>
      <c r="J63" s="76">
        <v>260</v>
      </c>
      <c r="K63" s="76">
        <v>1118.05</v>
      </c>
      <c r="L63" s="76">
        <v>252.17</v>
      </c>
      <c r="M63" s="76">
        <f>SUM(C63:L63)</f>
        <v>3194.2300000000005</v>
      </c>
    </row>
    <row r="64" spans="1:13" ht="21.75" thickTop="1" thickBot="1" x14ac:dyDescent="0.35">
      <c r="A64" s="74" t="s">
        <v>90</v>
      </c>
      <c r="B64" s="75"/>
      <c r="C64" s="77">
        <f>C62/C63</f>
        <v>0.72761080946278955</v>
      </c>
      <c r="D64" s="77">
        <f t="shared" ref="D64:L64" si="45">D62/D63</f>
        <v>1.7308131898431836</v>
      </c>
      <c r="E64" s="77">
        <f t="shared" si="45"/>
        <v>0.56014112842467356</v>
      </c>
      <c r="F64" s="77">
        <f t="shared" si="45"/>
        <v>1.322977965261106</v>
      </c>
      <c r="G64" s="77">
        <f t="shared" si="45"/>
        <v>0.89857404847865063</v>
      </c>
      <c r="H64" s="77">
        <f t="shared" si="45"/>
        <v>0.62140568510240823</v>
      </c>
      <c r="I64" s="77">
        <f t="shared" si="45"/>
        <v>0.55101669334863779</v>
      </c>
      <c r="J64" s="77">
        <f t="shared" si="45"/>
        <v>0.64733276110366922</v>
      </c>
      <c r="K64" s="77">
        <f t="shared" si="45"/>
        <v>0.64627746174404088</v>
      </c>
      <c r="L64" s="77">
        <f t="shared" si="45"/>
        <v>0.6706546875976247</v>
      </c>
      <c r="M64" s="77">
        <f>M62/M63</f>
        <v>0.88025745246438392</v>
      </c>
    </row>
    <row r="65" spans="1:13" ht="21.75" thickTop="1" thickBot="1" x14ac:dyDescent="0.35">
      <c r="A65" s="74" t="s">
        <v>88</v>
      </c>
      <c r="B65" s="75"/>
      <c r="C65" s="78">
        <f t="shared" ref="C65" si="46">(C64-$C$33)/$C$33</f>
        <v>-0.2871181272287075</v>
      </c>
      <c r="D65" s="78">
        <f t="shared" ref="D65" si="47">(D64-$D$33)/$D$33</f>
        <v>0.81124407083444994</v>
      </c>
      <c r="E65" s="78">
        <f t="shared" ref="E65" si="48">(E64-$E$33)/$E$33</f>
        <v>-0.68319900234914877</v>
      </c>
      <c r="F65" s="78">
        <f t="shared" ref="F65" si="49">(F64-$F$33)/$F$33</f>
        <v>-2.9919462622192351E-3</v>
      </c>
      <c r="G65" s="78">
        <f t="shared" ref="G65" si="50">(G64-$G$33)/$G$33</f>
        <v>3.5075973819941368</v>
      </c>
      <c r="H65" s="78">
        <f t="shared" ref="H65" si="51">(H64-$H$33)/$H$33</f>
        <v>0.18183087830643355</v>
      </c>
      <c r="I65" s="78">
        <f t="shared" ref="I65" si="52">(I64-$I$33)/$I$33</f>
        <v>-3.5525860100390277E-3</v>
      </c>
      <c r="J65" s="78">
        <f t="shared" ref="J65" si="53">(J64-$J$33)/$J$33</f>
        <v>-0.16231358183029854</v>
      </c>
      <c r="K65" s="78">
        <f>(K64-$K$33)/$K$33</f>
        <v>0.2143220308870887</v>
      </c>
      <c r="L65" s="78">
        <f t="shared" ref="L65" si="54">(L64-$L$33)/$L$33</f>
        <v>-0.64087238508268085</v>
      </c>
      <c r="M65" s="78">
        <f>(M64-$M$33)/$M$33</f>
        <v>6.5841555250437417E-2</v>
      </c>
    </row>
    <row r="66" spans="1:13" ht="21" thickTop="1" x14ac:dyDescent="0.3"/>
    <row r="67" spans="1:13" ht="21" hidden="1" thickBot="1" x14ac:dyDescent="0.35">
      <c r="A67" s="71">
        <v>43800</v>
      </c>
      <c r="B67" s="72" t="s">
        <v>3</v>
      </c>
      <c r="C67" s="73">
        <v>1</v>
      </c>
      <c r="D67" s="73">
        <v>2</v>
      </c>
      <c r="E67" s="73">
        <v>3</v>
      </c>
      <c r="F67" s="73">
        <v>4</v>
      </c>
      <c r="G67" s="73">
        <v>5</v>
      </c>
      <c r="H67" s="73">
        <v>6</v>
      </c>
      <c r="I67" s="73">
        <v>7</v>
      </c>
      <c r="J67" s="73">
        <v>8</v>
      </c>
      <c r="K67" s="73">
        <v>9</v>
      </c>
      <c r="L67" s="73">
        <v>10</v>
      </c>
      <c r="M67" s="72" t="s">
        <v>74</v>
      </c>
    </row>
    <row r="68" spans="1:13" ht="21.75" hidden="1" thickTop="1" thickBot="1" x14ac:dyDescent="0.35">
      <c r="A68" s="74" t="s">
        <v>89</v>
      </c>
      <c r="B68" s="75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>
        <f t="shared" ref="M68" si="55">SUM(C68:L68)</f>
        <v>0</v>
      </c>
    </row>
    <row r="69" spans="1:13" ht="21.75" hidden="1" thickTop="1" thickBot="1" x14ac:dyDescent="0.35">
      <c r="A69" s="74" t="s">
        <v>86</v>
      </c>
      <c r="B69" s="75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>
        <f t="shared" ref="M69" si="56">SUM(C69:L69)</f>
        <v>0</v>
      </c>
    </row>
    <row r="70" spans="1:13" ht="21.75" hidden="1" thickTop="1" thickBot="1" x14ac:dyDescent="0.35">
      <c r="A70" s="74" t="s">
        <v>90</v>
      </c>
      <c r="B70" s="75"/>
      <c r="C70" s="77" t="e">
        <f>C68/C69</f>
        <v>#DIV/0!</v>
      </c>
      <c r="D70" s="77" t="e">
        <f t="shared" ref="D70:L70" si="57">D68/D69</f>
        <v>#DIV/0!</v>
      </c>
      <c r="E70" s="77" t="e">
        <f t="shared" si="57"/>
        <v>#DIV/0!</v>
      </c>
      <c r="F70" s="77" t="e">
        <f t="shared" si="57"/>
        <v>#DIV/0!</v>
      </c>
      <c r="G70" s="77" t="e">
        <f t="shared" si="57"/>
        <v>#DIV/0!</v>
      </c>
      <c r="H70" s="77" t="e">
        <f t="shared" si="57"/>
        <v>#DIV/0!</v>
      </c>
      <c r="I70" s="77" t="e">
        <f t="shared" si="57"/>
        <v>#DIV/0!</v>
      </c>
      <c r="J70" s="77" t="e">
        <f t="shared" si="57"/>
        <v>#DIV/0!</v>
      </c>
      <c r="K70" s="77" t="e">
        <f t="shared" si="57"/>
        <v>#DIV/0!</v>
      </c>
      <c r="L70" s="77" t="e">
        <f t="shared" si="57"/>
        <v>#DIV/0!</v>
      </c>
      <c r="M70" s="77" t="e">
        <f>M68/M69</f>
        <v>#DIV/0!</v>
      </c>
    </row>
    <row r="71" spans="1:13" ht="21.75" hidden="1" thickTop="1" thickBot="1" x14ac:dyDescent="0.35">
      <c r="A71" s="74" t="s">
        <v>88</v>
      </c>
      <c r="B71" s="75"/>
      <c r="C71" s="78" t="e">
        <f t="shared" ref="C71" si="58">(C70-$C$33)/$C$33</f>
        <v>#DIV/0!</v>
      </c>
      <c r="D71" s="78" t="e">
        <f t="shared" ref="D71" si="59">(D70-$D$33)/$D$33</f>
        <v>#DIV/0!</v>
      </c>
      <c r="E71" s="78" t="e">
        <f t="shared" ref="E71" si="60">(E70-$E$33)/$E$33</f>
        <v>#DIV/0!</v>
      </c>
      <c r="F71" s="78" t="e">
        <f t="shared" ref="F71" si="61">(F70-$F$33)/$F$33</f>
        <v>#DIV/0!</v>
      </c>
      <c r="G71" s="78" t="e">
        <f t="shared" ref="G71" si="62">(G70-$G$33)/$G$33</f>
        <v>#DIV/0!</v>
      </c>
      <c r="H71" s="78" t="e">
        <f>(H70-$H$33)/$H$33</f>
        <v>#DIV/0!</v>
      </c>
      <c r="I71" s="78" t="e">
        <f>(I70-$I$33)/$I$33</f>
        <v>#DIV/0!</v>
      </c>
      <c r="J71" s="78" t="e">
        <f>(J70-$J$33)/$J$33</f>
        <v>#DIV/0!</v>
      </c>
      <c r="K71" s="78" t="e">
        <f>(K70-$K$33)/$K$33</f>
        <v>#DIV/0!</v>
      </c>
      <c r="L71" s="78" t="e">
        <f>(L70-$L$33)/$L$33</f>
        <v>#DIV/0!</v>
      </c>
      <c r="M71" s="78" t="e">
        <f t="shared" ref="M71" si="63">(M70-$M$33)/$M$33</f>
        <v>#DIV/0!</v>
      </c>
    </row>
    <row r="72" spans="1:13" ht="21" hidden="1" thickTop="1" x14ac:dyDescent="0.3"/>
    <row r="73" spans="1:13" ht="21" hidden="1" thickBot="1" x14ac:dyDescent="0.35">
      <c r="A73" s="71">
        <v>43831</v>
      </c>
      <c r="B73" s="72" t="s">
        <v>3</v>
      </c>
      <c r="C73" s="73">
        <v>1</v>
      </c>
      <c r="D73" s="73">
        <v>2</v>
      </c>
      <c r="E73" s="73">
        <v>3</v>
      </c>
      <c r="F73" s="73">
        <v>4</v>
      </c>
      <c r="G73" s="73">
        <v>5</v>
      </c>
      <c r="H73" s="73">
        <v>6</v>
      </c>
      <c r="I73" s="73">
        <v>7</v>
      </c>
      <c r="J73" s="73">
        <v>8</v>
      </c>
      <c r="K73" s="73">
        <v>9</v>
      </c>
      <c r="L73" s="73">
        <v>10</v>
      </c>
      <c r="M73" s="72" t="s">
        <v>74</v>
      </c>
    </row>
    <row r="74" spans="1:13" ht="21.75" hidden="1" thickTop="1" thickBot="1" x14ac:dyDescent="0.35">
      <c r="A74" s="74" t="s">
        <v>89</v>
      </c>
      <c r="B74" s="75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>
        <v>2993.1426156464972</v>
      </c>
    </row>
    <row r="75" spans="1:13" ht="21.75" hidden="1" thickTop="1" thickBot="1" x14ac:dyDescent="0.35">
      <c r="A75" s="74" t="s">
        <v>86</v>
      </c>
      <c r="B75" s="75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>
        <v>3347.91</v>
      </c>
    </row>
    <row r="76" spans="1:13" ht="21.75" hidden="1" thickTop="1" thickBot="1" x14ac:dyDescent="0.35">
      <c r="A76" s="74" t="s">
        <v>90</v>
      </c>
      <c r="B76" s="75"/>
      <c r="C76" s="81" t="e">
        <f>C74/C75</f>
        <v>#DIV/0!</v>
      </c>
      <c r="D76" s="81" t="e">
        <f t="shared" ref="D76:L76" si="64">D74/D75</f>
        <v>#DIV/0!</v>
      </c>
      <c r="E76" s="81" t="e">
        <f t="shared" si="64"/>
        <v>#DIV/0!</v>
      </c>
      <c r="F76" s="81" t="e">
        <f t="shared" si="64"/>
        <v>#DIV/0!</v>
      </c>
      <c r="G76" s="81" t="e">
        <f t="shared" si="64"/>
        <v>#DIV/0!</v>
      </c>
      <c r="H76" s="81" t="e">
        <f t="shared" si="64"/>
        <v>#DIV/0!</v>
      </c>
      <c r="I76" s="81" t="e">
        <f t="shared" si="64"/>
        <v>#DIV/0!</v>
      </c>
      <c r="J76" s="81" t="e">
        <f t="shared" si="64"/>
        <v>#DIV/0!</v>
      </c>
      <c r="K76" s="81" t="e">
        <f t="shared" si="64"/>
        <v>#DIV/0!</v>
      </c>
      <c r="L76" s="81" t="e">
        <f t="shared" si="64"/>
        <v>#DIV/0!</v>
      </c>
      <c r="M76" s="77">
        <f>M74/M75</f>
        <v>0.89403317760826828</v>
      </c>
    </row>
    <row r="77" spans="1:13" ht="21.75" hidden="1" thickTop="1" thickBot="1" x14ac:dyDescent="0.35">
      <c r="A77" s="74" t="s">
        <v>88</v>
      </c>
      <c r="B77" s="75"/>
      <c r="C77" s="78" t="e">
        <f t="shared" ref="C77" si="65">(C76-$C$33)/$C$33</f>
        <v>#DIV/0!</v>
      </c>
      <c r="D77" s="78" t="e">
        <f t="shared" ref="D77" si="66">(D76-$D$33)/$D$33</f>
        <v>#DIV/0!</v>
      </c>
      <c r="E77" s="78" t="e">
        <f t="shared" ref="E77" si="67">(E76-$E$33)/$E$33</f>
        <v>#DIV/0!</v>
      </c>
      <c r="F77" s="78" t="e">
        <f t="shared" ref="F77" si="68">(F76-$F$33)/$F$33</f>
        <v>#DIV/0!</v>
      </c>
      <c r="G77" s="78" t="e">
        <f t="shared" ref="G77" si="69">(G76-$G$33)/$G$33</f>
        <v>#DIV/0!</v>
      </c>
      <c r="H77" s="78" t="e">
        <f>(H76-$H$33)/$H$33</f>
        <v>#DIV/0!</v>
      </c>
      <c r="I77" s="78" t="e">
        <f>(I76-$I$33)/$I$33</f>
        <v>#DIV/0!</v>
      </c>
      <c r="J77" s="78" t="e">
        <f>(J76-$J$33)/$J$33</f>
        <v>#DIV/0!</v>
      </c>
      <c r="K77" s="78" t="e">
        <f>(K76-$K$33)/$K$33</f>
        <v>#DIV/0!</v>
      </c>
      <c r="L77" s="78" t="e">
        <f>(L76-$L$33)/$L$33</f>
        <v>#DIV/0!</v>
      </c>
      <c r="M77" s="78">
        <f>(M76-$M$33)/$M$33</f>
        <v>8.2521607513504555E-2</v>
      </c>
    </row>
    <row r="78" spans="1:13" ht="21" hidden="1" thickTop="1" x14ac:dyDescent="0.3"/>
    <row r="79" spans="1:13" ht="21" hidden="1" thickBot="1" x14ac:dyDescent="0.35">
      <c r="A79" s="71">
        <v>43862</v>
      </c>
      <c r="B79" s="72" t="s">
        <v>3</v>
      </c>
      <c r="C79" s="73">
        <v>1</v>
      </c>
      <c r="D79" s="73">
        <v>2</v>
      </c>
      <c r="E79" s="73">
        <v>3</v>
      </c>
      <c r="F79" s="73">
        <v>4</v>
      </c>
      <c r="G79" s="73">
        <v>5</v>
      </c>
      <c r="H79" s="73">
        <v>6</v>
      </c>
      <c r="I79" s="73">
        <v>7</v>
      </c>
      <c r="J79" s="73">
        <v>8</v>
      </c>
      <c r="K79" s="73">
        <v>9</v>
      </c>
      <c r="L79" s="73">
        <v>10</v>
      </c>
      <c r="M79" s="72" t="s">
        <v>74</v>
      </c>
    </row>
    <row r="80" spans="1:13" ht="21.75" hidden="1" thickTop="1" thickBot="1" x14ac:dyDescent="0.35">
      <c r="A80" s="74" t="s">
        <v>89</v>
      </c>
      <c r="B80" s="75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>
        <v>2853.0776979196453</v>
      </c>
    </row>
    <row r="81" spans="1:13" ht="21.75" hidden="1" thickTop="1" thickBot="1" x14ac:dyDescent="0.35">
      <c r="A81" s="74" t="s">
        <v>86</v>
      </c>
      <c r="B81" s="75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>
        <v>3347.91</v>
      </c>
    </row>
    <row r="82" spans="1:13" ht="21.75" hidden="1" thickTop="1" thickBot="1" x14ac:dyDescent="0.35">
      <c r="A82" s="74" t="s">
        <v>90</v>
      </c>
      <c r="B82" s="75"/>
      <c r="C82" s="81" t="e">
        <f>C80/C81</f>
        <v>#DIV/0!</v>
      </c>
      <c r="D82" s="81" t="e">
        <f t="shared" ref="D82:L82" si="70">D80/D81</f>
        <v>#DIV/0!</v>
      </c>
      <c r="E82" s="81" t="e">
        <f t="shared" si="70"/>
        <v>#DIV/0!</v>
      </c>
      <c r="F82" s="81" t="e">
        <f t="shared" si="70"/>
        <v>#DIV/0!</v>
      </c>
      <c r="G82" s="81" t="e">
        <f t="shared" si="70"/>
        <v>#DIV/0!</v>
      </c>
      <c r="H82" s="81" t="e">
        <f t="shared" si="70"/>
        <v>#DIV/0!</v>
      </c>
      <c r="I82" s="81" t="e">
        <f t="shared" si="70"/>
        <v>#DIV/0!</v>
      </c>
      <c r="J82" s="81" t="e">
        <f t="shared" si="70"/>
        <v>#DIV/0!</v>
      </c>
      <c r="K82" s="81" t="e">
        <f t="shared" si="70"/>
        <v>#DIV/0!</v>
      </c>
      <c r="L82" s="81" t="e">
        <f t="shared" si="70"/>
        <v>#DIV/0!</v>
      </c>
      <c r="M82" s="77">
        <f>M80/M81</f>
        <v>0.85219665341052941</v>
      </c>
    </row>
    <row r="83" spans="1:13" ht="21.75" hidden="1" thickTop="1" thickBot="1" x14ac:dyDescent="0.35">
      <c r="A83" s="74" t="s">
        <v>88</v>
      </c>
      <c r="B83" s="75"/>
      <c r="C83" s="78" t="e">
        <f t="shared" ref="C83" si="71">(C82-$C$33)/$C$33</f>
        <v>#DIV/0!</v>
      </c>
      <c r="D83" s="78" t="e">
        <f t="shared" ref="D83" si="72">(D82-$D$33)/$D$33</f>
        <v>#DIV/0!</v>
      </c>
      <c r="E83" s="78" t="e">
        <f t="shared" ref="E83" si="73">(E82-$E$33)/$E$33</f>
        <v>#DIV/0!</v>
      </c>
      <c r="F83" s="78" t="e">
        <f t="shared" ref="F83" si="74">(F82-$F$33)/$F$33</f>
        <v>#DIV/0!</v>
      </c>
      <c r="G83" s="78" t="e">
        <f t="shared" ref="G83" si="75">(G82-$G$33)/$G$33</f>
        <v>#DIV/0!</v>
      </c>
      <c r="H83" s="78" t="e">
        <f>(H82-$H$33)/$H$33</f>
        <v>#DIV/0!</v>
      </c>
      <c r="I83" s="78" t="e">
        <f>(I82-$I$33)/$I$33</f>
        <v>#DIV/0!</v>
      </c>
      <c r="J83" s="78" t="e">
        <f>(J82-$J$33)/$J$33</f>
        <v>#DIV/0!</v>
      </c>
      <c r="K83" s="78" t="e">
        <f>(K82-$K$33)/$K$33</f>
        <v>#DIV/0!</v>
      </c>
      <c r="L83" s="78" t="e">
        <f>(L82-$L$33)/$L$33</f>
        <v>#DIV/0!</v>
      </c>
      <c r="M83" s="78">
        <f>(M82-$M$33)/$M$33</f>
        <v>3.1864716291109881E-2</v>
      </c>
    </row>
    <row r="84" spans="1:13" ht="21" hidden="1" thickTop="1" x14ac:dyDescent="0.3"/>
    <row r="85" spans="1:13" ht="21" hidden="1" thickBot="1" x14ac:dyDescent="0.35">
      <c r="A85" s="71">
        <v>43891</v>
      </c>
      <c r="B85" s="72" t="s">
        <v>3</v>
      </c>
      <c r="C85" s="73">
        <v>1</v>
      </c>
      <c r="D85" s="73">
        <v>2</v>
      </c>
      <c r="E85" s="73">
        <v>3</v>
      </c>
      <c r="F85" s="73">
        <v>4</v>
      </c>
      <c r="G85" s="73">
        <v>5</v>
      </c>
      <c r="H85" s="73">
        <v>6</v>
      </c>
      <c r="I85" s="73">
        <v>7</v>
      </c>
      <c r="J85" s="73">
        <v>8</v>
      </c>
      <c r="K85" s="73">
        <v>9</v>
      </c>
      <c r="L85" s="73">
        <v>10</v>
      </c>
      <c r="M85" s="72" t="s">
        <v>74</v>
      </c>
    </row>
    <row r="86" spans="1:13" ht="21.75" hidden="1" thickTop="1" thickBot="1" x14ac:dyDescent="0.35">
      <c r="A86" s="74" t="s">
        <v>89</v>
      </c>
      <c r="B86" s="75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>
        <v>3317.0752344797716</v>
      </c>
    </row>
    <row r="87" spans="1:13" ht="21.75" hidden="1" thickTop="1" thickBot="1" x14ac:dyDescent="0.35">
      <c r="A87" s="74" t="s">
        <v>86</v>
      </c>
      <c r="B87" s="75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>
        <v>3301.5450000000001</v>
      </c>
    </row>
    <row r="88" spans="1:13" ht="21.75" hidden="1" thickTop="1" thickBot="1" x14ac:dyDescent="0.35">
      <c r="A88" s="74" t="s">
        <v>90</v>
      </c>
      <c r="B88" s="75"/>
      <c r="C88" s="81" t="e">
        <f>C86/C87</f>
        <v>#DIV/0!</v>
      </c>
      <c r="D88" s="81" t="e">
        <f t="shared" ref="D88:L88" si="76">D86/D87</f>
        <v>#DIV/0!</v>
      </c>
      <c r="E88" s="81" t="e">
        <f t="shared" si="76"/>
        <v>#DIV/0!</v>
      </c>
      <c r="F88" s="81" t="e">
        <f t="shared" si="76"/>
        <v>#DIV/0!</v>
      </c>
      <c r="G88" s="81" t="e">
        <f t="shared" si="76"/>
        <v>#DIV/0!</v>
      </c>
      <c r="H88" s="81" t="e">
        <f t="shared" si="76"/>
        <v>#DIV/0!</v>
      </c>
      <c r="I88" s="81" t="e">
        <f t="shared" si="76"/>
        <v>#DIV/0!</v>
      </c>
      <c r="J88" s="81" t="e">
        <f t="shared" si="76"/>
        <v>#DIV/0!</v>
      </c>
      <c r="K88" s="81" t="e">
        <f t="shared" si="76"/>
        <v>#DIV/0!</v>
      </c>
      <c r="L88" s="81" t="e">
        <f t="shared" si="76"/>
        <v>#DIV/0!</v>
      </c>
      <c r="M88" s="77">
        <f>M86/M87</f>
        <v>1.0047039293663336</v>
      </c>
    </row>
    <row r="89" spans="1:13" ht="21.75" hidden="1" thickTop="1" thickBot="1" x14ac:dyDescent="0.35">
      <c r="A89" s="74" t="s">
        <v>88</v>
      </c>
      <c r="B89" s="75"/>
      <c r="C89" s="78" t="e">
        <f t="shared" ref="C89" si="77">(C88-$C$33)/$C$33</f>
        <v>#DIV/0!</v>
      </c>
      <c r="D89" s="78" t="e">
        <f t="shared" ref="D89" si="78">(D88-$D$33)/$D$33</f>
        <v>#DIV/0!</v>
      </c>
      <c r="E89" s="78" t="e">
        <f t="shared" ref="E89" si="79">(E88-$E$33)/$E$33</f>
        <v>#DIV/0!</v>
      </c>
      <c r="F89" s="78" t="e">
        <f t="shared" ref="F89" si="80">(F88-$F$33)/$F$33</f>
        <v>#DIV/0!</v>
      </c>
      <c r="G89" s="78" t="e">
        <f t="shared" ref="G89" si="81">(G88-$G$33)/$G$33</f>
        <v>#DIV/0!</v>
      </c>
      <c r="H89" s="78" t="e">
        <f>(H88-$H$33)/$H$33</f>
        <v>#DIV/0!</v>
      </c>
      <c r="I89" s="78" t="e">
        <f>(I88-$I$33)/$I$33</f>
        <v>#DIV/0!</v>
      </c>
      <c r="J89" s="78" t="e">
        <f>(J88-$J$33)/$J$33</f>
        <v>#DIV/0!</v>
      </c>
      <c r="K89" s="78" t="e">
        <f>(K88-$K$33)/$K$33</f>
        <v>#DIV/0!</v>
      </c>
      <c r="L89" s="78" t="e">
        <f>(L88-$L$33)/$L$33</f>
        <v>#DIV/0!</v>
      </c>
      <c r="M89" s="78">
        <f>(M88-$M$33)/$M$33</f>
        <v>0.21652500145730541</v>
      </c>
    </row>
    <row r="90" spans="1:13" ht="21" hidden="1" thickTop="1" x14ac:dyDescent="0.3"/>
    <row r="91" spans="1:13" ht="21" hidden="1" thickBot="1" x14ac:dyDescent="0.35">
      <c r="A91" s="71">
        <v>43922</v>
      </c>
      <c r="B91" s="72" t="s">
        <v>3</v>
      </c>
      <c r="C91" s="73">
        <v>1</v>
      </c>
      <c r="D91" s="73">
        <v>2</v>
      </c>
      <c r="E91" s="73">
        <v>3</v>
      </c>
      <c r="F91" s="73">
        <v>4</v>
      </c>
      <c r="G91" s="73">
        <v>5</v>
      </c>
      <c r="H91" s="73">
        <v>6</v>
      </c>
      <c r="I91" s="73">
        <v>7</v>
      </c>
      <c r="J91" s="73">
        <v>8</v>
      </c>
      <c r="K91" s="73">
        <v>9</v>
      </c>
      <c r="L91" s="73">
        <v>10</v>
      </c>
      <c r="M91" s="72" t="s">
        <v>74</v>
      </c>
    </row>
    <row r="92" spans="1:13" ht="21.75" hidden="1" thickTop="1" thickBot="1" x14ac:dyDescent="0.35">
      <c r="A92" s="74" t="s">
        <v>89</v>
      </c>
      <c r="B92" s="75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>
        <f>SUM(C92:L92)</f>
        <v>0</v>
      </c>
    </row>
    <row r="93" spans="1:13" ht="21.75" hidden="1" thickTop="1" thickBot="1" x14ac:dyDescent="0.35">
      <c r="A93" s="74" t="s">
        <v>86</v>
      </c>
      <c r="B93" s="75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>
        <f>SUM(C93:L93)</f>
        <v>0</v>
      </c>
    </row>
    <row r="94" spans="1:13" ht="21.75" hidden="1" thickTop="1" thickBot="1" x14ac:dyDescent="0.35">
      <c r="A94" s="74" t="s">
        <v>90</v>
      </c>
      <c r="B94" s="75"/>
      <c r="C94" s="81" t="e">
        <f>C92/C93</f>
        <v>#DIV/0!</v>
      </c>
      <c r="D94" s="81" t="e">
        <f t="shared" ref="D94:L94" si="82">D92/D93</f>
        <v>#DIV/0!</v>
      </c>
      <c r="E94" s="81" t="e">
        <f t="shared" si="82"/>
        <v>#DIV/0!</v>
      </c>
      <c r="F94" s="81" t="e">
        <f t="shared" si="82"/>
        <v>#DIV/0!</v>
      </c>
      <c r="G94" s="81" t="e">
        <f t="shared" si="82"/>
        <v>#DIV/0!</v>
      </c>
      <c r="H94" s="81" t="e">
        <f t="shared" si="82"/>
        <v>#DIV/0!</v>
      </c>
      <c r="I94" s="81" t="e">
        <f t="shared" si="82"/>
        <v>#DIV/0!</v>
      </c>
      <c r="J94" s="81" t="e">
        <f t="shared" si="82"/>
        <v>#DIV/0!</v>
      </c>
      <c r="K94" s="81" t="e">
        <f t="shared" si="82"/>
        <v>#DIV/0!</v>
      </c>
      <c r="L94" s="81" t="e">
        <f t="shared" si="82"/>
        <v>#DIV/0!</v>
      </c>
      <c r="M94" s="77" t="e">
        <f>M92/M93</f>
        <v>#DIV/0!</v>
      </c>
    </row>
    <row r="95" spans="1:13" ht="21.75" hidden="1" thickTop="1" thickBot="1" x14ac:dyDescent="0.35">
      <c r="A95" s="74" t="s">
        <v>88</v>
      </c>
      <c r="B95" s="75"/>
      <c r="C95" s="78" t="e">
        <f t="shared" ref="C95" si="83">(C94-$C$33)/$C$33</f>
        <v>#DIV/0!</v>
      </c>
      <c r="D95" s="78" t="e">
        <f t="shared" ref="D95" si="84">(D94-$D$33)/$D$33</f>
        <v>#DIV/0!</v>
      </c>
      <c r="E95" s="78" t="e">
        <f t="shared" ref="E95" si="85">(E94-$E$33)/$E$33</f>
        <v>#DIV/0!</v>
      </c>
      <c r="F95" s="78" t="e">
        <f t="shared" ref="F95" si="86">(F94-$F$33)/$F$33</f>
        <v>#DIV/0!</v>
      </c>
      <c r="G95" s="78" t="e">
        <f t="shared" ref="G95" si="87">(G94-$G$33)/$G$33</f>
        <v>#DIV/0!</v>
      </c>
      <c r="H95" s="78" t="e">
        <f t="shared" ref="H95" si="88">(H94-$H$33)/$H$33</f>
        <v>#DIV/0!</v>
      </c>
      <c r="I95" s="78" t="e">
        <f t="shared" ref="I95" si="89">(I94-$I$33)/$I$33</f>
        <v>#DIV/0!</v>
      </c>
      <c r="J95" s="78" t="e">
        <f t="shared" ref="J95" si="90">(J94-$J$33)/$J$33</f>
        <v>#DIV/0!</v>
      </c>
      <c r="K95" s="78" t="e">
        <f t="shared" ref="K95" si="91">(K94-$K$33)/$K$33</f>
        <v>#DIV/0!</v>
      </c>
      <c r="L95" s="78" t="e">
        <f t="shared" ref="L95" si="92">(L94-$L$33)/$L$33</f>
        <v>#DIV/0!</v>
      </c>
      <c r="M95" s="78" t="e">
        <f>(M94-$M$33)/$M$33</f>
        <v>#DIV/0!</v>
      </c>
    </row>
    <row r="96" spans="1:13" ht="21" hidden="1" thickTop="1" x14ac:dyDescent="0.3"/>
    <row r="97" spans="1:13" ht="21" hidden="1" thickBot="1" x14ac:dyDescent="0.35">
      <c r="A97" s="71">
        <v>43952</v>
      </c>
      <c r="B97" s="72" t="s">
        <v>3</v>
      </c>
      <c r="C97" s="73">
        <v>1</v>
      </c>
      <c r="D97" s="73">
        <v>2</v>
      </c>
      <c r="E97" s="73">
        <v>3</v>
      </c>
      <c r="F97" s="73">
        <v>4</v>
      </c>
      <c r="G97" s="73">
        <v>5</v>
      </c>
      <c r="H97" s="73">
        <v>6</v>
      </c>
      <c r="I97" s="73">
        <v>7</v>
      </c>
      <c r="J97" s="73">
        <v>8</v>
      </c>
      <c r="K97" s="73">
        <v>9</v>
      </c>
      <c r="L97" s="73">
        <v>10</v>
      </c>
      <c r="M97" s="72" t="s">
        <v>74</v>
      </c>
    </row>
    <row r="98" spans="1:13" ht="21.75" hidden="1" thickTop="1" thickBot="1" x14ac:dyDescent="0.35">
      <c r="A98" s="74" t="s">
        <v>89</v>
      </c>
      <c r="B98" s="75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>
        <f>SUM(C98:L98)</f>
        <v>0</v>
      </c>
    </row>
    <row r="99" spans="1:13" ht="21.75" hidden="1" thickTop="1" thickBot="1" x14ac:dyDescent="0.35">
      <c r="A99" s="74" t="s">
        <v>86</v>
      </c>
      <c r="B99" s="75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>
        <f>SUM(C99:L99)</f>
        <v>0</v>
      </c>
    </row>
    <row r="100" spans="1:13" ht="21.75" hidden="1" thickTop="1" thickBot="1" x14ac:dyDescent="0.35">
      <c r="A100" s="74" t="s">
        <v>90</v>
      </c>
      <c r="B100" s="75"/>
      <c r="C100" s="77" t="e">
        <f t="shared" ref="C100:L100" si="93">C98/C99</f>
        <v>#DIV/0!</v>
      </c>
      <c r="D100" s="77" t="e">
        <f t="shared" si="93"/>
        <v>#DIV/0!</v>
      </c>
      <c r="E100" s="77" t="e">
        <f t="shared" si="93"/>
        <v>#DIV/0!</v>
      </c>
      <c r="F100" s="77" t="e">
        <f t="shared" si="93"/>
        <v>#DIV/0!</v>
      </c>
      <c r="G100" s="77" t="e">
        <f t="shared" si="93"/>
        <v>#DIV/0!</v>
      </c>
      <c r="H100" s="77" t="e">
        <f t="shared" si="93"/>
        <v>#DIV/0!</v>
      </c>
      <c r="I100" s="77" t="e">
        <f t="shared" si="93"/>
        <v>#DIV/0!</v>
      </c>
      <c r="J100" s="77" t="e">
        <f t="shared" si="93"/>
        <v>#DIV/0!</v>
      </c>
      <c r="K100" s="77" t="e">
        <f t="shared" si="93"/>
        <v>#DIV/0!</v>
      </c>
      <c r="L100" s="77" t="e">
        <f t="shared" si="93"/>
        <v>#DIV/0!</v>
      </c>
      <c r="M100" s="77" t="e">
        <f>M98/M99</f>
        <v>#DIV/0!</v>
      </c>
    </row>
    <row r="101" spans="1:13" ht="21.75" hidden="1" thickTop="1" thickBot="1" x14ac:dyDescent="0.35">
      <c r="A101" s="74" t="s">
        <v>88</v>
      </c>
      <c r="B101" s="75"/>
      <c r="C101" s="78" t="e">
        <f t="shared" ref="C101" si="94">(C100-$C$33)/$C$33</f>
        <v>#DIV/0!</v>
      </c>
      <c r="D101" s="78" t="e">
        <f t="shared" ref="D101" si="95">(D100-$D$33)/$D$33</f>
        <v>#DIV/0!</v>
      </c>
      <c r="E101" s="78" t="e">
        <f t="shared" ref="E101" si="96">(E100-$E$33)/$E$33</f>
        <v>#DIV/0!</v>
      </c>
      <c r="F101" s="78" t="e">
        <f t="shared" ref="F101" si="97">(F100-$F$33)/$F$33</f>
        <v>#DIV/0!</v>
      </c>
      <c r="G101" s="78" t="e">
        <f t="shared" ref="G101" si="98">(G100-$G$33)/$G$33</f>
        <v>#DIV/0!</v>
      </c>
      <c r="H101" s="78" t="e">
        <f>(H100-$H$33)/$H$33</f>
        <v>#DIV/0!</v>
      </c>
      <c r="I101" s="78" t="e">
        <f>(I100-$I$33)/$I$33</f>
        <v>#DIV/0!</v>
      </c>
      <c r="J101" s="78" t="e">
        <f>(J100-$J$33)/$J$33</f>
        <v>#DIV/0!</v>
      </c>
      <c r="K101" s="78" t="e">
        <f>(K100-$K$33)/$K$33</f>
        <v>#DIV/0!</v>
      </c>
      <c r="L101" s="78" t="e">
        <f>(L100-$L$33)/$L$33</f>
        <v>#DIV/0!</v>
      </c>
      <c r="M101" s="78" t="e">
        <f>(M100-$M$33)/$M$33</f>
        <v>#DIV/0!</v>
      </c>
    </row>
    <row r="102" spans="1:13" ht="21" hidden="1" thickTop="1" x14ac:dyDescent="0.3"/>
    <row r="103" spans="1:13" hidden="1" x14ac:dyDescent="0.3"/>
  </sheetData>
  <mergeCells count="8">
    <mergeCell ref="A20:L20"/>
    <mergeCell ref="A21:L21"/>
    <mergeCell ref="A2:M2"/>
    <mergeCell ref="A3:M3"/>
    <mergeCell ref="A4:M4"/>
    <mergeCell ref="A5:M5"/>
    <mergeCell ref="A6:M6"/>
    <mergeCell ref="A13:M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Resumen CUSPT E ajustados</vt:lpstr>
      <vt:lpstr>CUSPT Equivalente - Generadores</vt:lpstr>
      <vt:lpstr>'CUSPT Equivalente - Generadores'!Área_de_impresión</vt:lpstr>
      <vt:lpstr>'Resumen CUSPT E ajustados'!Área_de_impresión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Vega</dc:creator>
  <cp:lastModifiedBy>Marian del Carmen Evans</cp:lastModifiedBy>
  <dcterms:created xsi:type="dcterms:W3CDTF">2018-11-21T13:51:57Z</dcterms:created>
  <dcterms:modified xsi:type="dcterms:W3CDTF">2019-12-31T16:20:30Z</dcterms:modified>
</cp:coreProperties>
</file>