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60" yWindow="-135" windowWidth="7680" windowHeight="7290"/>
  </bookViews>
  <sheets>
    <sheet name="IMP" sheetId="1" r:id="rId1"/>
    <sheet name="ACTIVOS" sheetId="2" r:id="rId2"/>
    <sheet name="ART. 177" sheetId="24" r:id="rId3"/>
    <sheet name="EVOLUCIÓN BIENES" sheetId="28" r:id="rId4"/>
    <sheet name="BIENES 2008" sheetId="45" r:id="rId5"/>
    <sheet name="TASA DE DEPRECIACIÓN" sheetId="41" r:id="rId6"/>
    <sheet name="PLAN EXPANSIÓN" sheetId="50" r:id="rId7"/>
    <sheet name="PLAN EXPANSIÓN_RES" sheetId="51" r:id="rId8"/>
    <sheet name="VNR LÍNEAS" sheetId="32" r:id="rId9"/>
    <sheet name="VNR SE" sheetId="33" r:id="rId10"/>
    <sheet name="VNR_ RES" sheetId="31" r:id="rId11"/>
    <sheet name="CND" sheetId="12" r:id="rId12"/>
    <sheet name="CND SOLICITADO" sheetId="46" r:id="rId13"/>
    <sheet name="CND AJUSTADO" sheetId="48" r:id="rId14"/>
    <sheet name="CND AJUSTADO -RES" sheetId="49" r:id="rId15"/>
    <sheet name="HID" sheetId="26" r:id="rId16"/>
    <sheet name="HID2" sheetId="42" r:id="rId17"/>
  </sheets>
  <externalReferences>
    <externalReference r:id="rId18"/>
    <externalReference r:id="rId19"/>
    <externalReference r:id="rId20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m">#REF!</definedName>
    <definedName name="\r">#REF!</definedName>
    <definedName name="\w">#REF!</definedName>
    <definedName name="\z">#REF!</definedName>
    <definedName name="_2">#REF!</definedName>
    <definedName name="_CFP1">#REF!</definedName>
    <definedName name="_COP1">#REF!</definedName>
    <definedName name="_ERP1">#REF!</definedName>
    <definedName name="_ESP1">#REF!</definedName>
    <definedName name="_Fill" hidden="1">#REF!</definedName>
    <definedName name="_OAP1">#REF!</definedName>
    <definedName name="_PRO2">#REF!</definedName>
    <definedName name="_PRO3">#REF!</definedName>
    <definedName name="_PRO4">#REF!</definedName>
    <definedName name="_RFP1">#REF!</definedName>
    <definedName name="_SE1">#REF!</definedName>
    <definedName name="_SE11">#REF!</definedName>
    <definedName name="_SE12">#REF!</definedName>
    <definedName name="_SE13">#REF!</definedName>
    <definedName name="_SE14">#REF!</definedName>
    <definedName name="_SE15">#REF!</definedName>
    <definedName name="_SE16">#REF!</definedName>
    <definedName name="_SE2">#REF!</definedName>
    <definedName name="_SE3">#REF!</definedName>
    <definedName name="_SE4">#REF!</definedName>
    <definedName name="_SE5">#REF!</definedName>
    <definedName name="_SE6">#REF!</definedName>
    <definedName name="_TST1">#REF!</definedName>
    <definedName name="_TST2">#REF!</definedName>
    <definedName name="_TST3">#REF!</definedName>
    <definedName name="A_IMPRESIÓN_IM">#REF!</definedName>
    <definedName name="ACTUAL">#REF!</definedName>
    <definedName name="ANOS">#REF!</definedName>
    <definedName name="ANOSHIS">#REF!</definedName>
    <definedName name="ANOUNO">#REF!</definedName>
    <definedName name="_xlnm.Extract">#REF!</definedName>
    <definedName name="_xlnm.Print_Area" localSheetId="10">'VNR_ RES'!$A$1:$G$11</definedName>
    <definedName name="ASSUMPTIONS">#REF!</definedName>
    <definedName name="BALANCE_SH">#REF!</definedName>
    <definedName name="Base_datos_IM">#REF!</definedName>
    <definedName name="_xlnm.Database">#REF!</definedName>
    <definedName name="BASIC_DATA">#REF!</definedName>
    <definedName name="BASICO">#REF!</definedName>
    <definedName name="BLANK">#REF!</definedName>
    <definedName name="Blev">#REF!</definedName>
    <definedName name="Bu">#REF!</definedName>
    <definedName name="CALCULAR">#REF!</definedName>
    <definedName name="CASH_FL">#REF!</definedName>
    <definedName name="CASH_FLOW_RPT">#REF!</definedName>
    <definedName name="CASH_RPT_BR_ROW">#REF!</definedName>
    <definedName name="CASH_RPT_HEADER">#REF!</definedName>
    <definedName name="CASHFLOW">#REF!</definedName>
    <definedName name="CBASE">#REF!</definedName>
    <definedName name="CCC">#REF!</definedName>
    <definedName name="CF_CY">#REF!</definedName>
    <definedName name="CFP">#REF!</definedName>
    <definedName name="CFPC">#REF!</definedName>
    <definedName name="CFPDATA">#REF!</definedName>
    <definedName name="CFPTITLES">#REF!</definedName>
    <definedName name="CFTITLE">#REF!</definedName>
    <definedName name="CFUNIT">#REF!</definedName>
    <definedName name="CHANGES">#REF!</definedName>
    <definedName name="CHECAMAC">#REF!</definedName>
    <definedName name="CHECAOPT">#REF!</definedName>
    <definedName name="CO_CY">#REF!</definedName>
    <definedName name="COLTOTAL">#REF!</definedName>
    <definedName name="COLWIDE">#REF!</definedName>
    <definedName name="CON_ACC_REC">#REF!</definedName>
    <definedName name="CON_ALL_REPORT">#REF!</definedName>
    <definedName name="CON_NETWORTH">#REF!</definedName>
    <definedName name="CON_PAS_COR">#REF!</definedName>
    <definedName name="CON_REPT_FOOTER">#REF!</definedName>
    <definedName name="CON_REPT_HEADER">#REF!</definedName>
    <definedName name="CON_REVENUE">#REF!</definedName>
    <definedName name="CON_RPT_BOR_COL">#REF!</definedName>
    <definedName name="CON_RPT_BOR_ROW">#REF!</definedName>
    <definedName name="CON_VOLUMES">#REF!</definedName>
    <definedName name="CONEX">#REF!</definedName>
    <definedName name="CONSOL_FIXED_AS">#REF!</definedName>
    <definedName name="CONSOL_FUENTE_I">#REF!</definedName>
    <definedName name="CONSOL_RPT">#REF!</definedName>
    <definedName name="CONSOLIDA">#REF!</definedName>
    <definedName name="CONSOLIDATION">#REF!</definedName>
    <definedName name="COP">#REF!</definedName>
    <definedName name="COPDATA">#REF!</definedName>
    <definedName name="COTITLE">#REF!</definedName>
    <definedName name="COUNIT">#REF!</definedName>
    <definedName name="_xlnm.Criteria">#REF!</definedName>
    <definedName name="Criterios_IM">#REF!</definedName>
    <definedName name="CSD">#REF!</definedName>
    <definedName name="CY_DOLAR">#REF!</definedName>
    <definedName name="CY_LOCAL">#REF!</definedName>
    <definedName name="DATOSE">#REF!</definedName>
    <definedName name="DBHH">#REF!</definedName>
    <definedName name="DBPC">#REF!</definedName>
    <definedName name="DBT">#REF!</definedName>
    <definedName name="DCOL">#REF!</definedName>
    <definedName name="DE">#REF!</definedName>
    <definedName name="DECI">#REF!</definedName>
    <definedName name="DENOMINATION">#REF!</definedName>
    <definedName name="DEPRINT">#REF!</definedName>
    <definedName name="DEUDA">#REF!</definedName>
    <definedName name="DEUDAL">#REF!</definedName>
    <definedName name="DV">#REF!</definedName>
    <definedName name="ENTRY">#REF!</definedName>
    <definedName name="ER_CY">#REF!</definedName>
    <definedName name="ERHACTUAL">#REF!</definedName>
    <definedName name="ERHDATA10YEARS">#REF!</definedName>
    <definedName name="ERHDATA5">#REF!</definedName>
    <definedName name="ERHTITLES">#REF!</definedName>
    <definedName name="ERP">#REF!</definedName>
    <definedName name="ERP_LAST">#REF!</definedName>
    <definedName name="ERP0">#REF!</definedName>
    <definedName name="ERPC">#REF!</definedName>
    <definedName name="ERPDATA">#REF!</definedName>
    <definedName name="ERPTITLES">#REF!</definedName>
    <definedName name="ERPUNO">#REF!</definedName>
    <definedName name="ERPWP">#REF!</definedName>
    <definedName name="ERTITLE">#REF!</definedName>
    <definedName name="ERUNIT">#REF!</definedName>
    <definedName name="ES_CY">#REF!</definedName>
    <definedName name="ESP">#REF!</definedName>
    <definedName name="ESP_LAST">#REF!</definedName>
    <definedName name="ESP0">#REF!</definedName>
    <definedName name="ESPACTUAL">#REF!</definedName>
    <definedName name="ESPANOL">#REF!</definedName>
    <definedName name="ESPC">#REF!</definedName>
    <definedName name="ESPDATA">#REF!</definedName>
    <definedName name="ESPTITLES">#REF!</definedName>
    <definedName name="ESPUNO">#REF!</definedName>
    <definedName name="ESTITLE">#REF!</definedName>
    <definedName name="ESUNIT">#REF!</definedName>
    <definedName name="EXIT">#REF!</definedName>
    <definedName name="Extracción_IM">#REF!</definedName>
    <definedName name="FACEL">#REF!</definedName>
    <definedName name="FACWA">#REF!</definedName>
    <definedName name="FILE1">#REF!</definedName>
    <definedName name="FILE2">#REF!</definedName>
    <definedName name="FILE3">#REF!</definedName>
    <definedName name="FILE4">#REF!</definedName>
    <definedName name="FILE5">#REF!</definedName>
    <definedName name="FILE6">#REF!</definedName>
    <definedName name="FILE7">#REF!</definedName>
    <definedName name="FILE8">#REF!</definedName>
    <definedName name="FILENAME">#REF!</definedName>
    <definedName name="FILES">#REF!</definedName>
    <definedName name="FILESET_UP">#REF!</definedName>
    <definedName name="FIN">#REF!</definedName>
    <definedName name="FORMAT">#REF!</definedName>
    <definedName name="FRAME">#REF!</definedName>
    <definedName name="FREEZE">#REF!</definedName>
    <definedName name="GINC">#REF!</definedName>
    <definedName name="GINCL">#REF!</definedName>
    <definedName name="GWH">#REF!</definedName>
    <definedName name="HISTORY">#REF!</definedName>
    <definedName name="HOJAT">#REF!</definedName>
    <definedName name="i">#REF!</definedName>
    <definedName name="IMPANO0">#REF!</definedName>
    <definedName name="INCOME_ST">#REF!</definedName>
    <definedName name="INDSAVE">#REF!</definedName>
    <definedName name="INGLES">#REF!</definedName>
    <definedName name="INICIO">#REF!</definedName>
    <definedName name="INSTRUCCONSOL">#REF!</definedName>
    <definedName name="ITER">#REF!</definedName>
    <definedName name="JKL">#REF!</definedName>
    <definedName name="LANGUAGE">#REF!</definedName>
    <definedName name="LASER">#REF!</definedName>
    <definedName name="LAST_YEAR">#REF!</definedName>
    <definedName name="LEARN">#REF!</definedName>
    <definedName name="LINE_">#REF!</definedName>
    <definedName name="LINES_ML">#REF!</definedName>
    <definedName name="LOGO">#REF!</definedName>
    <definedName name="MAIN">#REF!</definedName>
    <definedName name="MENSAJ">#REF!</definedName>
    <definedName name="MENSAJ1">#REF!</definedName>
    <definedName name="MENSAJE">#REF!</definedName>
    <definedName name="MENSAJE1">#REF!</definedName>
    <definedName name="MESES">#REF!</definedName>
    <definedName name="MESESL">#REF!</definedName>
    <definedName name="MIL">#REF!</definedName>
    <definedName name="MILLON">#REF!</definedName>
    <definedName name="MODINFO">#REF!</definedName>
    <definedName name="MODULES">#REF!</definedName>
    <definedName name="MSGCALC">#REF!</definedName>
    <definedName name="MSGDEBT">#REF!</definedName>
    <definedName name="MSGFILES">#REF!</definedName>
    <definedName name="MSGINVEST">#REF!</definedName>
    <definedName name="MSGNAMES">#REF!</definedName>
    <definedName name="MSGPRINTG">#REF!</definedName>
    <definedName name="MSGTRANSFER">#REF!</definedName>
    <definedName name="MWH">#REF!</definedName>
    <definedName name="NAME">#REF!</definedName>
    <definedName name="NAMES">#REF!</definedName>
    <definedName name="NOPRO">#REF!</definedName>
    <definedName name="OA_CY">#REF!</definedName>
    <definedName name="OAP">#REF!</definedName>
    <definedName name="OAP_LAST">#REF!</definedName>
    <definedName name="OAP0">#REF!</definedName>
    <definedName name="OAPACTUAL">#REF!</definedName>
    <definedName name="OAPC">#REF!</definedName>
    <definedName name="OAPDATA">#REF!</definedName>
    <definedName name="OAPTITLES">#REF!</definedName>
    <definedName name="OAPUNO">#REF!</definedName>
    <definedName name="OATITLE">#REF!</definedName>
    <definedName name="OAUNIT">#REF!</definedName>
    <definedName name="OPCFLAG">#REF!</definedName>
    <definedName name="OPCION">#REF!</definedName>
    <definedName name="OPSELC">#REF!</definedName>
    <definedName name="OUTPUT">#REF!</definedName>
    <definedName name="OUTPUTDE">#REF!</definedName>
    <definedName name="OUTPUTE">#REF!</definedName>
    <definedName name="OUTPUTE_HEADER">#REF!</definedName>
    <definedName name="OUTPUTEBODY">#REF!</definedName>
    <definedName name="OUTPUTECOL">#REF!</definedName>
    <definedName name="OUTPUTEHEAD">#REF!</definedName>
    <definedName name="OUTPUTNOS">#REF!</definedName>
    <definedName name="OUTPUTPR">#REF!</definedName>
    <definedName name="OUTPUTWS">#REF!</definedName>
    <definedName name="PANTALLA">#REF!</definedName>
    <definedName name="PAPEL">#REF!</definedName>
    <definedName name="PFLAG">#REF!</definedName>
    <definedName name="PGIC">#REF!</definedName>
    <definedName name="PREST">#REF!</definedName>
    <definedName name="PRESTAMO">#REF!</definedName>
    <definedName name="PRESTTOT">#REF!</definedName>
    <definedName name="PRINTER">#REF!</definedName>
    <definedName name="PRODUC2">#REF!</definedName>
    <definedName name="PRODUC3">#REF!</definedName>
    <definedName name="PRODUC4">#REF!</definedName>
    <definedName name="PTOEF">#REF!</definedName>
    <definedName name="PTOER">#REF!</definedName>
    <definedName name="RANGES">#REF!</definedName>
    <definedName name="RATIOS">#REF!</definedName>
    <definedName name="RCC">#REF!</definedName>
    <definedName name="RCCOBR">#REF!</definedName>
    <definedName name="rd">#REF!</definedName>
    <definedName name="rdn">[1]Hidrometeorología!$D$14</definedName>
    <definedName name="rdx">[1]Hidrometeorología!$D$14</definedName>
    <definedName name="re">#REF!</definedName>
    <definedName name="RENTA">#REF!</definedName>
    <definedName name="RENTAL">#REF!</definedName>
    <definedName name="REPO">#REF!</definedName>
    <definedName name="REPOCALC">#REF!</definedName>
    <definedName name="REPOPRO">#REF!</definedName>
    <definedName name="REPSUB">#REF!</definedName>
    <definedName name="REPSUBWYS">#REF!</definedName>
    <definedName name="RESUMEN">#REF!</definedName>
    <definedName name="rf">#REF!</definedName>
    <definedName name="RF_CY">#REF!</definedName>
    <definedName name="RFP">#REF!</definedName>
    <definedName name="RFPACTUAL">#REF!</definedName>
    <definedName name="RFPC">#REF!</definedName>
    <definedName name="RFPDATA">#REF!</definedName>
    <definedName name="RFPTITLES">#REF!</definedName>
    <definedName name="RFTITLE">#REF!</definedName>
    <definedName name="RFUNIT">#REF!</definedName>
    <definedName name="rm_rf">#REF!</definedName>
    <definedName name="rp">#REF!</definedName>
    <definedName name="RPTSFOOTER">#REF!</definedName>
    <definedName name="RPTSHEADER">#REF!</definedName>
    <definedName name="rrd">[2]RRT!$D$14</definedName>
    <definedName name="RRT" localSheetId="10">#REF!</definedName>
    <definedName name="RRT">IMP!$D$10</definedName>
    <definedName name="SCREEN">#REF!</definedName>
    <definedName name="Sd">#REF!</definedName>
    <definedName name="SE0">#REF!</definedName>
    <definedName name="SENOP">#REF!</definedName>
    <definedName name="SENPRI">#REF!</definedName>
    <definedName name="SENSITIVITY">#REF!</definedName>
    <definedName name="SENSTA">#REF!</definedName>
    <definedName name="SENT">#REF!</definedName>
    <definedName name="SENUNI">#REF!</definedName>
    <definedName name="SER">#REF!</definedName>
    <definedName name="SOURCE_APPL">#REF!</definedName>
    <definedName name="STAMP">#REF!</definedName>
    <definedName name="START">#REF!</definedName>
    <definedName name="SUMARIA">#REF!</definedName>
    <definedName name="SUPUESTOS">#REF!</definedName>
    <definedName name="t">#REF!</definedName>
    <definedName name="TASA">#REF!</definedName>
    <definedName name="TASAI">#REF!</definedName>
    <definedName name="TASATOT">#REF!</definedName>
    <definedName name="TIPO">#REF!</definedName>
    <definedName name="TITLE">#REF!</definedName>
    <definedName name="TITLEENG">#REF!</definedName>
    <definedName name="TITLES">#REF!</definedName>
    <definedName name="TITLESPAN">#REF!</definedName>
    <definedName name="_xlnm.Print_Titles" localSheetId="13">'CND AJUSTADO'!$6:$6</definedName>
    <definedName name="_xlnm.Print_Titles" localSheetId="12">'CND SOLICITADO'!$6:$6</definedName>
    <definedName name="TRAF">#REF!</definedName>
    <definedName name="TSFR1">#REF!</definedName>
    <definedName name="TSFR2">#REF!</definedName>
    <definedName name="TSFR3">#REF!</definedName>
    <definedName name="UNDERLINE">#REF!</definedName>
    <definedName name="UNFREEZE">#REF!</definedName>
    <definedName name="UNITS">#REF!</definedName>
    <definedName name="WACCna">#REF!</definedName>
    <definedName name="WACCnd">#REF!</definedName>
    <definedName name="WACCr">#REF!</definedName>
    <definedName name="WACCra">#REF!</definedName>
    <definedName name="WH">#REF!</definedName>
    <definedName name="WHC">#REF!</definedName>
    <definedName name="WHCO">#REF!</definedName>
    <definedName name="WHCR">#REF!</definedName>
    <definedName name="WHCS">#REF!</definedName>
    <definedName name="WHG">#REF!</definedName>
    <definedName name="WHH">#REF!</definedName>
    <definedName name="WORKSHEET">#REF!</definedName>
    <definedName name="WP">#REF!</definedName>
    <definedName name="WPC">#REF!</definedName>
    <definedName name="WPG">#REF!</definedName>
    <definedName name="WPH">#REF!</definedName>
    <definedName name="WSANO0PR">#REF!</definedName>
    <definedName name="WSANO0S">#REF!</definedName>
    <definedName name="WSGRID">#REF!</definedName>
    <definedName name="WSGRID0">#REF!</definedName>
    <definedName name="WSGRID10">#REF!</definedName>
    <definedName name="WSPRINT">#REF!</definedName>
    <definedName name="Z_0612C5A0_2523_11D2_9BCE_0000F878F7C0_.wvu.PrintArea" localSheetId="0" hidden="1">IMP!$B$1:$J$80</definedName>
    <definedName name="Z_DB3CCEA0_7DC7_11D4_9E92_0000F878F7C0_.wvu.PrintArea" localSheetId="0" hidden="1">IMP!$B$1:$J$80</definedName>
  </definedNames>
  <calcPr calcId="125725"/>
</workbook>
</file>

<file path=xl/calcChain.xml><?xml version="1.0" encoding="utf-8"?>
<calcChain xmlns="http://schemas.openxmlformats.org/spreadsheetml/2006/main">
  <c r="BG19" i="50"/>
  <c r="C11" i="51"/>
  <c r="BF20" i="5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G20"/>
  <c r="AB47"/>
  <c r="O53"/>
  <c r="L39"/>
  <c r="L60" s="1"/>
  <c r="E80" i="45"/>
  <c r="D216" i="24"/>
  <c r="E89" i="28"/>
  <c r="F89" s="1"/>
  <c r="H86"/>
  <c r="C160" i="24"/>
  <c r="C137"/>
  <c r="C161"/>
  <c r="F141"/>
  <c r="F143"/>
  <c r="F144"/>
  <c r="F148"/>
  <c r="F150"/>
  <c r="F152"/>
  <c r="F154"/>
  <c r="F156"/>
  <c r="F137"/>
  <c r="H20"/>
  <c r="K20" s="1"/>
  <c r="I20"/>
  <c r="J20"/>
  <c r="M21"/>
  <c r="M22"/>
  <c r="M23"/>
  <c r="M25"/>
  <c r="M26"/>
  <c r="C27"/>
  <c r="M27"/>
  <c r="M28"/>
  <c r="M31"/>
  <c r="M32"/>
  <c r="M33"/>
  <c r="M34"/>
  <c r="C35"/>
  <c r="C8" s="1"/>
  <c r="N21"/>
  <c r="N22"/>
  <c r="N23"/>
  <c r="N25"/>
  <c r="N26"/>
  <c r="D27"/>
  <c r="N27" s="1"/>
  <c r="N28"/>
  <c r="N31"/>
  <c r="N32"/>
  <c r="N33"/>
  <c r="N34"/>
  <c r="M40"/>
  <c r="M41"/>
  <c r="M42"/>
  <c r="M43"/>
  <c r="M44"/>
  <c r="M45"/>
  <c r="M46"/>
  <c r="M47"/>
  <c r="M48"/>
  <c r="M49"/>
  <c r="M50"/>
  <c r="H51"/>
  <c r="J51"/>
  <c r="K51"/>
  <c r="M51" s="1"/>
  <c r="H52"/>
  <c r="J52"/>
  <c r="K52" s="1"/>
  <c r="H55"/>
  <c r="I55"/>
  <c r="J55"/>
  <c r="H56"/>
  <c r="I56"/>
  <c r="K56" s="1"/>
  <c r="J56"/>
  <c r="M57"/>
  <c r="M58"/>
  <c r="M59"/>
  <c r="M60"/>
  <c r="M61"/>
  <c r="M64"/>
  <c r="H65"/>
  <c r="I65"/>
  <c r="J65"/>
  <c r="M66"/>
  <c r="J67"/>
  <c r="K67" s="1"/>
  <c r="J68"/>
  <c r="K68"/>
  <c r="M68" s="1"/>
  <c r="M69"/>
  <c r="H70"/>
  <c r="I70"/>
  <c r="J70"/>
  <c r="M71"/>
  <c r="M73"/>
  <c r="M74"/>
  <c r="C75"/>
  <c r="G75"/>
  <c r="K75"/>
  <c r="M75" s="1"/>
  <c r="M76"/>
  <c r="M77"/>
  <c r="M78"/>
  <c r="E181"/>
  <c r="F181" s="1"/>
  <c r="F182"/>
  <c r="F184"/>
  <c r="E185"/>
  <c r="F185" s="1"/>
  <c r="E186"/>
  <c r="F186" s="1"/>
  <c r="E187"/>
  <c r="F187" s="1"/>
  <c r="E189"/>
  <c r="F189" s="1"/>
  <c r="F179"/>
  <c r="C191"/>
  <c r="C192" s="1"/>
  <c r="G35" i="32"/>
  <c r="C4" i="31" s="1"/>
  <c r="E48" i="50"/>
  <c r="F48"/>
  <c r="G48"/>
  <c r="H48"/>
  <c r="I48"/>
  <c r="J48"/>
  <c r="K48"/>
  <c r="L48"/>
  <c r="M48"/>
  <c r="N48"/>
  <c r="O48"/>
  <c r="P43"/>
  <c r="P44"/>
  <c r="P45"/>
  <c r="P46"/>
  <c r="P47"/>
  <c r="Q48"/>
  <c r="R48"/>
  <c r="S48"/>
  <c r="T43"/>
  <c r="T44"/>
  <c r="T48" s="1"/>
  <c r="U48"/>
  <c r="V48"/>
  <c r="W48"/>
  <c r="X48"/>
  <c r="Y48"/>
  <c r="Z48"/>
  <c r="AA48"/>
  <c r="AB45"/>
  <c r="AB48" s="1"/>
  <c r="AB69" s="1"/>
  <c r="AB46"/>
  <c r="AC48"/>
  <c r="AD48"/>
  <c r="AE48"/>
  <c r="AF48"/>
  <c r="AG48"/>
  <c r="AH48"/>
  <c r="AI45"/>
  <c r="AI46"/>
  <c r="AI47"/>
  <c r="AJ48"/>
  <c r="AK48"/>
  <c r="AL48"/>
  <c r="AM48"/>
  <c r="AN48"/>
  <c r="AO48"/>
  <c r="AP48"/>
  <c r="AQ48"/>
  <c r="AR48"/>
  <c r="AS48"/>
  <c r="AT48"/>
  <c r="AU48"/>
  <c r="AV48"/>
  <c r="AW48"/>
  <c r="AX48"/>
  <c r="AY48"/>
  <c r="AZ46"/>
  <c r="AZ47"/>
  <c r="AZ48"/>
  <c r="BA48"/>
  <c r="BB48"/>
  <c r="BC48"/>
  <c r="BD48"/>
  <c r="BE48"/>
  <c r="BF46"/>
  <c r="BF47"/>
  <c r="BF48"/>
  <c r="H39"/>
  <c r="N39"/>
  <c r="N60" s="1"/>
  <c r="K39"/>
  <c r="K60" s="1"/>
  <c r="E20"/>
  <c r="E39"/>
  <c r="E54"/>
  <c r="F20"/>
  <c r="F39"/>
  <c r="F60" s="1"/>
  <c r="G39"/>
  <c r="G60" s="1"/>
  <c r="I39"/>
  <c r="I60" s="1"/>
  <c r="J39"/>
  <c r="J60" s="1"/>
  <c r="M39"/>
  <c r="M60" s="1"/>
  <c r="O39"/>
  <c r="O60" s="1"/>
  <c r="P39"/>
  <c r="P60" s="1"/>
  <c r="Q39"/>
  <c r="Q60" s="1"/>
  <c r="R39"/>
  <c r="R60" s="1"/>
  <c r="S39"/>
  <c r="S60" s="1"/>
  <c r="T39"/>
  <c r="T60" s="1"/>
  <c r="U39"/>
  <c r="U60" s="1"/>
  <c r="V39"/>
  <c r="V60" s="1"/>
  <c r="W39"/>
  <c r="W60" s="1"/>
  <c r="X39"/>
  <c r="X60" s="1"/>
  <c r="Y39"/>
  <c r="Y60" s="1"/>
  <c r="Z39"/>
  <c r="Z60" s="1"/>
  <c r="AA39"/>
  <c r="AA60" s="1"/>
  <c r="AB39"/>
  <c r="AB60" s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D10" i="31"/>
  <c r="D9"/>
  <c r="C25" i="33"/>
  <c r="D4" i="31" s="1"/>
  <c r="D6" s="1"/>
  <c r="H17" i="33"/>
  <c r="D5" i="31" s="1"/>
  <c r="AI39" i="50"/>
  <c r="AI60" s="1"/>
  <c r="AC39"/>
  <c r="AC60" s="1"/>
  <c r="AD39"/>
  <c r="AD60" s="1"/>
  <c r="AE39"/>
  <c r="AE60" s="1"/>
  <c r="AF39"/>
  <c r="AF60" s="1"/>
  <c r="AG39"/>
  <c r="AG60" s="1"/>
  <c r="AH39"/>
  <c r="AH60" s="1"/>
  <c r="AJ39"/>
  <c r="AJ60" s="1"/>
  <c r="AK39"/>
  <c r="AK60" s="1"/>
  <c r="AL39"/>
  <c r="AL60" s="1"/>
  <c r="AM39"/>
  <c r="AM60" s="1"/>
  <c r="AN39"/>
  <c r="AN60" s="1"/>
  <c r="AC68"/>
  <c r="AD68"/>
  <c r="AE68"/>
  <c r="AF68"/>
  <c r="AG68"/>
  <c r="AH68"/>
  <c r="AI68"/>
  <c r="AJ68"/>
  <c r="AK68"/>
  <c r="AL68"/>
  <c r="AM68"/>
  <c r="AN68"/>
  <c r="AO39"/>
  <c r="AO60" s="1"/>
  <c r="AP39"/>
  <c r="AP60"/>
  <c r="AQ39"/>
  <c r="AQ60"/>
  <c r="AR39"/>
  <c r="AR60"/>
  <c r="AS39"/>
  <c r="AS60"/>
  <c r="AT39"/>
  <c r="AT60"/>
  <c r="AU39"/>
  <c r="AU60"/>
  <c r="AV39"/>
  <c r="AV60"/>
  <c r="AW39"/>
  <c r="AW60"/>
  <c r="AX39"/>
  <c r="AX60"/>
  <c r="AY39"/>
  <c r="AY60"/>
  <c r="AZ39"/>
  <c r="AZ60"/>
  <c r="AO68"/>
  <c r="AP68"/>
  <c r="AQ68"/>
  <c r="AR68"/>
  <c r="AS68"/>
  <c r="AT68"/>
  <c r="AU68"/>
  <c r="AV68"/>
  <c r="AW68"/>
  <c r="AX68"/>
  <c r="AY68"/>
  <c r="AZ68"/>
  <c r="BA39"/>
  <c r="BA60" s="1"/>
  <c r="BB39"/>
  <c r="BB60" s="1"/>
  <c r="BC39"/>
  <c r="BC60" s="1"/>
  <c r="BD39"/>
  <c r="BD60" s="1"/>
  <c r="BE39"/>
  <c r="BE60" s="1"/>
  <c r="BF39"/>
  <c r="BF60" s="1"/>
  <c r="BA68"/>
  <c r="BB68"/>
  <c r="BC68"/>
  <c r="BD68"/>
  <c r="BE68"/>
  <c r="BF68"/>
  <c r="D202" i="2"/>
  <c r="D203"/>
  <c r="D204"/>
  <c r="D205"/>
  <c r="D206"/>
  <c r="D207"/>
  <c r="D208"/>
  <c r="D209"/>
  <c r="D210"/>
  <c r="D211"/>
  <c r="D193"/>
  <c r="D212"/>
  <c r="D213" s="1"/>
  <c r="D216" s="1"/>
  <c r="F40" s="1"/>
  <c r="F152" s="1"/>
  <c r="C123"/>
  <c r="C128"/>
  <c r="D128" s="1"/>
  <c r="C129"/>
  <c r="E129" s="1"/>
  <c r="C9" i="31"/>
  <c r="E9" s="1"/>
  <c r="H34" i="32"/>
  <c r="E25"/>
  <c r="AZ77" i="50"/>
  <c r="F97" s="1"/>
  <c r="F112" s="1"/>
  <c r="BE81"/>
  <c r="G100" s="1"/>
  <c r="AZ81"/>
  <c r="F100"/>
  <c r="AN81"/>
  <c r="E100"/>
  <c r="AB81"/>
  <c r="D100" s="1"/>
  <c r="P81"/>
  <c r="C100" s="1"/>
  <c r="BG16"/>
  <c r="BG17"/>
  <c r="BG18"/>
  <c r="BI35"/>
  <c r="E93"/>
  <c r="E92"/>
  <c r="BG7"/>
  <c r="E66" i="1"/>
  <c r="F66" s="1"/>
  <c r="G66" s="1"/>
  <c r="H66" s="1"/>
  <c r="I66" s="1"/>
  <c r="G45" i="32"/>
  <c r="C5" i="31"/>
  <c r="B18" i="41"/>
  <c r="D18"/>
  <c r="D22" i="2"/>
  <c r="D162"/>
  <c r="D25"/>
  <c r="D165"/>
  <c r="B19" i="41"/>
  <c r="D19" s="1"/>
  <c r="D78" i="2"/>
  <c r="D81"/>
  <c r="C21" i="48"/>
  <c r="E10" i="49" s="1"/>
  <c r="E14"/>
  <c r="D106" i="2"/>
  <c r="D108"/>
  <c r="E106" s="1"/>
  <c r="D109"/>
  <c r="D23" i="48"/>
  <c r="F8" i="1"/>
  <c r="F9"/>
  <c r="G8"/>
  <c r="G9"/>
  <c r="H8"/>
  <c r="H9"/>
  <c r="I8"/>
  <c r="I9"/>
  <c r="J84" i="2"/>
  <c r="BG46" i="50"/>
  <c r="BI46" s="1"/>
  <c r="BG44"/>
  <c r="BI44" s="1"/>
  <c r="BI48" s="1"/>
  <c r="BG43"/>
  <c r="BI43" s="1"/>
  <c r="BG47"/>
  <c r="BI47" s="1"/>
  <c r="BG45"/>
  <c r="BI45" s="1"/>
  <c r="F45" i="48"/>
  <c r="H13" i="49" s="1"/>
  <c r="E50" i="48"/>
  <c r="E45" s="1"/>
  <c r="G13" i="49" s="1"/>
  <c r="D48" i="48"/>
  <c r="D45"/>
  <c r="F13" i="49" s="1"/>
  <c r="C45" i="48"/>
  <c r="E13" i="49"/>
  <c r="F41" i="48"/>
  <c r="H12" i="49"/>
  <c r="E41" i="48"/>
  <c r="G12" i="49"/>
  <c r="D41" i="48"/>
  <c r="F12" i="49"/>
  <c r="C41" i="48"/>
  <c r="E12" i="49"/>
  <c r="F30" i="48"/>
  <c r="H11" i="49"/>
  <c r="E30" i="48"/>
  <c r="G11" i="49"/>
  <c r="D30" i="48"/>
  <c r="F11" i="49"/>
  <c r="C30" i="48"/>
  <c r="E11" i="49" s="1"/>
  <c r="F24" i="48"/>
  <c r="F21" s="1"/>
  <c r="E24"/>
  <c r="E21" s="1"/>
  <c r="D24"/>
  <c r="D21" s="1"/>
  <c r="D92" i="50"/>
  <c r="D107"/>
  <c r="E107"/>
  <c r="F92"/>
  <c r="F107" s="1"/>
  <c r="G92"/>
  <c r="G107" s="1"/>
  <c r="C108"/>
  <c r="D108"/>
  <c r="E108"/>
  <c r="F108"/>
  <c r="G108"/>
  <c r="F68" i="28"/>
  <c r="C83" s="1"/>
  <c r="E83"/>
  <c r="F67"/>
  <c r="C82" s="1"/>
  <c r="C110" i="50"/>
  <c r="D110"/>
  <c r="E110"/>
  <c r="F110"/>
  <c r="G110"/>
  <c r="C113"/>
  <c r="D113"/>
  <c r="E113"/>
  <c r="F113"/>
  <c r="G113"/>
  <c r="F53" i="28"/>
  <c r="B5" i="41" s="1"/>
  <c r="E29" i="28"/>
  <c r="F29" s="1"/>
  <c r="I6" i="12"/>
  <c r="K6" s="1"/>
  <c r="K8" s="1"/>
  <c r="K9" s="1"/>
  <c r="K10" s="1"/>
  <c r="K14" s="1"/>
  <c r="J15" i="26"/>
  <c r="C97" i="2" s="1"/>
  <c r="C110" i="42"/>
  <c r="D120"/>
  <c r="D122" s="1"/>
  <c r="B6" i="26" s="1"/>
  <c r="B8" s="1"/>
  <c r="G19" i="42"/>
  <c r="B7" i="26" s="1"/>
  <c r="E110" i="42"/>
  <c r="F120"/>
  <c r="F122" s="1"/>
  <c r="C6" i="26" s="1"/>
  <c r="H20" i="42"/>
  <c r="G20" s="1"/>
  <c r="G110"/>
  <c r="H120"/>
  <c r="H122" s="1"/>
  <c r="I110"/>
  <c r="J120"/>
  <c r="J122" s="1"/>
  <c r="E6" i="26" s="1"/>
  <c r="K110" i="42"/>
  <c r="L120"/>
  <c r="L122"/>
  <c r="F6" i="26" s="1"/>
  <c r="F52" i="28"/>
  <c r="B6" i="41" s="1"/>
  <c r="F28" i="28"/>
  <c r="B13" i="41" s="1"/>
  <c r="C16" i="51"/>
  <c r="D13"/>
  <c r="D14"/>
  <c r="D15" s="1"/>
  <c r="E7" i="46"/>
  <c r="E16"/>
  <c r="E22"/>
  <c r="E24" s="1"/>
  <c r="E30"/>
  <c r="E41"/>
  <c r="E45"/>
  <c r="E53"/>
  <c r="F7"/>
  <c r="F16"/>
  <c r="F26"/>
  <c r="F21" s="1"/>
  <c r="F55" s="1"/>
  <c r="F30"/>
  <c r="F41"/>
  <c r="F45"/>
  <c r="F53"/>
  <c r="G7"/>
  <c r="G16"/>
  <c r="G21"/>
  <c r="G30"/>
  <c r="G41"/>
  <c r="G45"/>
  <c r="G53"/>
  <c r="H8"/>
  <c r="H9"/>
  <c r="H10"/>
  <c r="H11"/>
  <c r="H12"/>
  <c r="H13"/>
  <c r="H14"/>
  <c r="H15"/>
  <c r="H17"/>
  <c r="H18"/>
  <c r="H19"/>
  <c r="H20"/>
  <c r="H16" s="1"/>
  <c r="H22"/>
  <c r="H23"/>
  <c r="H25"/>
  <c r="H26"/>
  <c r="H27"/>
  <c r="H28"/>
  <c r="H29"/>
  <c r="H31"/>
  <c r="H32"/>
  <c r="H33"/>
  <c r="H34"/>
  <c r="H35"/>
  <c r="H37"/>
  <c r="H38"/>
  <c r="H39"/>
  <c r="H40"/>
  <c r="H42"/>
  <c r="H43"/>
  <c r="H44"/>
  <c r="H46"/>
  <c r="H47"/>
  <c r="H48"/>
  <c r="H49"/>
  <c r="H50"/>
  <c r="H51"/>
  <c r="H52"/>
  <c r="H54"/>
  <c r="H53" s="1"/>
  <c r="D7"/>
  <c r="D16"/>
  <c r="D21"/>
  <c r="D30"/>
  <c r="D41"/>
  <c r="D45"/>
  <c r="D53"/>
  <c r="E64" i="45"/>
  <c r="E74"/>
  <c r="E45"/>
  <c r="E41"/>
  <c r="E62"/>
  <c r="E56" s="1"/>
  <c r="D80"/>
  <c r="F80" s="1"/>
  <c r="F65"/>
  <c r="F66"/>
  <c r="F67"/>
  <c r="F68"/>
  <c r="F69"/>
  <c r="F70"/>
  <c r="F71"/>
  <c r="F72"/>
  <c r="F73"/>
  <c r="F75"/>
  <c r="F76"/>
  <c r="F77"/>
  <c r="F78"/>
  <c r="F42"/>
  <c r="F43"/>
  <c r="F44"/>
  <c r="F45"/>
  <c r="F46"/>
  <c r="D47"/>
  <c r="F47" s="1"/>
  <c r="F48"/>
  <c r="F49"/>
  <c r="F50"/>
  <c r="F51"/>
  <c r="F52"/>
  <c r="F53"/>
  <c r="F54"/>
  <c r="F55"/>
  <c r="F57"/>
  <c r="F58"/>
  <c r="F59"/>
  <c r="F60"/>
  <c r="F61"/>
  <c r="D62"/>
  <c r="F62" s="1"/>
  <c r="D64"/>
  <c r="D74"/>
  <c r="D41"/>
  <c r="C55" i="48"/>
  <c r="D30" i="28"/>
  <c r="D36" s="1"/>
  <c r="D94" s="1"/>
  <c r="E30"/>
  <c r="E31"/>
  <c r="E35"/>
  <c r="C95"/>
  <c r="D54"/>
  <c r="D60" s="1"/>
  <c r="D95" s="1"/>
  <c r="E54"/>
  <c r="E55"/>
  <c r="E60" s="1"/>
  <c r="F95" s="1"/>
  <c r="E59"/>
  <c r="D69"/>
  <c r="D75" s="1"/>
  <c r="D96" s="1"/>
  <c r="E69"/>
  <c r="E75"/>
  <c r="F96" s="1"/>
  <c r="D84"/>
  <c r="D90" s="1"/>
  <c r="D97" s="1"/>
  <c r="E84"/>
  <c r="E85"/>
  <c r="E99"/>
  <c r="D101"/>
  <c r="D102"/>
  <c r="D104" s="1"/>
  <c r="D103"/>
  <c r="C104"/>
  <c r="N40" i="24"/>
  <c r="N41"/>
  <c r="N42"/>
  <c r="N43"/>
  <c r="N44"/>
  <c r="N45"/>
  <c r="N46"/>
  <c r="N47"/>
  <c r="N48"/>
  <c r="N49"/>
  <c r="N50"/>
  <c r="N51"/>
  <c r="N57"/>
  <c r="N58"/>
  <c r="N59"/>
  <c r="N60"/>
  <c r="N61"/>
  <c r="N64"/>
  <c r="N66"/>
  <c r="N68"/>
  <c r="N69"/>
  <c r="N71"/>
  <c r="N73"/>
  <c r="N74"/>
  <c r="D75"/>
  <c r="N75" s="1"/>
  <c r="N76"/>
  <c r="N77"/>
  <c r="N78"/>
  <c r="I8" i="49"/>
  <c r="I9"/>
  <c r="I12"/>
  <c r="I14"/>
  <c r="G27" i="48"/>
  <c r="G25"/>
  <c r="G28"/>
  <c r="G22"/>
  <c r="G23"/>
  <c r="G24"/>
  <c r="G26"/>
  <c r="G29"/>
  <c r="G38"/>
  <c r="G31"/>
  <c r="G32"/>
  <c r="G33"/>
  <c r="G34"/>
  <c r="G35"/>
  <c r="G37"/>
  <c r="G39"/>
  <c r="G40"/>
  <c r="G51"/>
  <c r="G52"/>
  <c r="G49"/>
  <c r="G50"/>
  <c r="G48"/>
  <c r="G46"/>
  <c r="G47"/>
  <c r="G45" s="1"/>
  <c r="G42"/>
  <c r="G43"/>
  <c r="G44"/>
  <c r="C8"/>
  <c r="G8" s="1"/>
  <c r="C9"/>
  <c r="C10"/>
  <c r="C11"/>
  <c r="C12"/>
  <c r="C17"/>
  <c r="C18"/>
  <c r="C19"/>
  <c r="C20"/>
  <c r="G20" s="1"/>
  <c r="D9"/>
  <c r="D10"/>
  <c r="D13"/>
  <c r="D14"/>
  <c r="G14" s="1"/>
  <c r="D15"/>
  <c r="G15" s="1"/>
  <c r="D19"/>
  <c r="E10"/>
  <c r="E11"/>
  <c r="E12"/>
  <c r="E19"/>
  <c r="F9"/>
  <c r="F10"/>
  <c r="F13"/>
  <c r="F17"/>
  <c r="G17" s="1"/>
  <c r="F18"/>
  <c r="F19"/>
  <c r="G13"/>
  <c r="G54"/>
  <c r="G53"/>
  <c r="D175" i="2"/>
  <c r="E175"/>
  <c r="F175" s="1"/>
  <c r="G175" s="1"/>
  <c r="H175" s="1"/>
  <c r="C10" i="31"/>
  <c r="E10" s="1"/>
  <c r="D82" i="45"/>
  <c r="D14" s="1"/>
  <c r="D25"/>
  <c r="D23" s="1"/>
  <c r="D28"/>
  <c r="D34"/>
  <c r="D10"/>
  <c r="E82"/>
  <c r="E23"/>
  <c r="E29"/>
  <c r="E28" s="1"/>
  <c r="E34"/>
  <c r="E10" s="1"/>
  <c r="F83"/>
  <c r="F82" s="1"/>
  <c r="F14" s="1"/>
  <c r="F84"/>
  <c r="F85"/>
  <c r="F86"/>
  <c r="F87"/>
  <c r="F88"/>
  <c r="F89"/>
  <c r="F90"/>
  <c r="F91"/>
  <c r="F24"/>
  <c r="F26"/>
  <c r="F27"/>
  <c r="F30"/>
  <c r="F31"/>
  <c r="F32"/>
  <c r="F35"/>
  <c r="F36"/>
  <c r="F37"/>
  <c r="F38"/>
  <c r="D93"/>
  <c r="D15" s="1"/>
  <c r="E93"/>
  <c r="F94"/>
  <c r="F95"/>
  <c r="F93" s="1"/>
  <c r="F15" s="1"/>
  <c r="F96"/>
  <c r="F97"/>
  <c r="F98"/>
  <c r="F99"/>
  <c r="F100"/>
  <c r="F101"/>
  <c r="D103"/>
  <c r="D16" s="1"/>
  <c r="E103"/>
  <c r="F104"/>
  <c r="F105"/>
  <c r="F106"/>
  <c r="F107"/>
  <c r="F108"/>
  <c r="F109"/>
  <c r="F110"/>
  <c r="D17"/>
  <c r="E17"/>
  <c r="F113"/>
  <c r="F17" s="1"/>
  <c r="B211" i="2"/>
  <c r="C198"/>
  <c r="C194"/>
  <c r="C196" s="1"/>
  <c r="D189" i="24"/>
  <c r="D188"/>
  <c r="D187"/>
  <c r="D186"/>
  <c r="D185"/>
  <c r="D184"/>
  <c r="D183"/>
  <c r="D182"/>
  <c r="D181"/>
  <c r="D136" i="2"/>
  <c r="E136" s="1"/>
  <c r="F136" s="1"/>
  <c r="G136" s="1"/>
  <c r="H136" s="1"/>
  <c r="C199" i="24"/>
  <c r="C31" i="41"/>
  <c r="C30"/>
  <c r="D50" i="2"/>
  <c r="D53" s="1"/>
  <c r="C58"/>
  <c r="C170"/>
  <c r="D161"/>
  <c r="D146"/>
  <c r="E146" s="1"/>
  <c r="F146" s="1"/>
  <c r="G146" s="1"/>
  <c r="H146" s="1"/>
  <c r="C86"/>
  <c r="D49"/>
  <c r="D34"/>
  <c r="E34" s="1"/>
  <c r="F34" s="1"/>
  <c r="G34" s="1"/>
  <c r="H34" s="1"/>
  <c r="I4" i="12"/>
  <c r="E24" i="32"/>
  <c r="C44" i="12"/>
  <c r="D44" s="1"/>
  <c r="E44" s="1"/>
  <c r="F44" s="1"/>
  <c r="M110" i="42"/>
  <c r="D42"/>
  <c r="D72" s="1"/>
  <c r="D43"/>
  <c r="D44"/>
  <c r="D45"/>
  <c r="D56"/>
  <c r="F42"/>
  <c r="F72" s="1"/>
  <c r="G124" s="1"/>
  <c r="F43"/>
  <c r="F45"/>
  <c r="F54"/>
  <c r="F56"/>
  <c r="H42"/>
  <c r="H72" s="1"/>
  <c r="H43"/>
  <c r="H44"/>
  <c r="H45"/>
  <c r="H54"/>
  <c r="J42"/>
  <c r="J43"/>
  <c r="J44"/>
  <c r="J45"/>
  <c r="J54"/>
  <c r="L43"/>
  <c r="L44"/>
  <c r="L45"/>
  <c r="L54"/>
  <c r="L72" s="1"/>
  <c r="C130" i="2"/>
  <c r="B14" i="26"/>
  <c r="C14" s="1"/>
  <c r="D14" s="1"/>
  <c r="E14" s="1"/>
  <c r="F14" s="1"/>
  <c r="M112" i="42"/>
  <c r="M113"/>
  <c r="M114"/>
  <c r="M115"/>
  <c r="M116"/>
  <c r="M117"/>
  <c r="M118"/>
  <c r="M119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81"/>
  <c r="M80"/>
  <c r="M71"/>
  <c r="M70"/>
  <c r="M69"/>
  <c r="M68"/>
  <c r="M67"/>
  <c r="M66"/>
  <c r="M65"/>
  <c r="M64"/>
  <c r="M63"/>
  <c r="M62"/>
  <c r="M61"/>
  <c r="M60"/>
  <c r="M59"/>
  <c r="M58"/>
  <c r="M57"/>
  <c r="M56"/>
  <c r="M55"/>
  <c r="M53"/>
  <c r="M52"/>
  <c r="M51"/>
  <c r="M50"/>
  <c r="M49"/>
  <c r="M48"/>
  <c r="M47"/>
  <c r="M46"/>
  <c r="M45"/>
  <c r="M43"/>
  <c r="M42"/>
  <c r="D9"/>
  <c r="J9"/>
  <c r="D10"/>
  <c r="J10"/>
  <c r="D11"/>
  <c r="J11"/>
  <c r="D12"/>
  <c r="G12"/>
  <c r="H12" s="1"/>
  <c r="D13"/>
  <c r="B14"/>
  <c r="C14"/>
  <c r="I14"/>
  <c r="D19"/>
  <c r="J19"/>
  <c r="D20"/>
  <c r="D21"/>
  <c r="D22"/>
  <c r="D23"/>
  <c r="B24"/>
  <c r="C24"/>
  <c r="I24"/>
  <c r="I216" i="24"/>
  <c r="F72" i="28"/>
  <c r="C87" s="1"/>
  <c r="F87" s="1"/>
  <c r="F88"/>
  <c r="F70"/>
  <c r="C85" s="1"/>
  <c r="F85" s="1"/>
  <c r="D160" i="24"/>
  <c r="D143"/>
  <c r="D144"/>
  <c r="D146"/>
  <c r="D148"/>
  <c r="D150"/>
  <c r="D152"/>
  <c r="D154"/>
  <c r="D156"/>
  <c r="D158"/>
  <c r="D141"/>
  <c r="D136"/>
  <c r="D135"/>
  <c r="D134"/>
  <c r="D137"/>
  <c r="E6" i="41"/>
  <c r="E5"/>
  <c r="F6"/>
  <c r="C20"/>
  <c r="B20"/>
  <c r="C14"/>
  <c r="C7"/>
  <c r="C90" i="24"/>
  <c r="C103"/>
  <c r="C12"/>
  <c r="C112"/>
  <c r="C117"/>
  <c r="H72" i="28"/>
  <c r="D13"/>
  <c r="C11"/>
  <c r="D11"/>
  <c r="E11" s="1"/>
  <c r="D11" i="31"/>
  <c r="C11"/>
  <c r="C74" i="28"/>
  <c r="C13"/>
  <c r="F69"/>
  <c r="K26" i="12"/>
  <c r="K28"/>
  <c r="K29" s="1"/>
  <c r="K30" s="1"/>
  <c r="K34" s="1"/>
  <c r="E9" i="32"/>
  <c r="H22" i="33"/>
  <c r="H21"/>
  <c r="E9"/>
  <c r="E10"/>
  <c r="E11"/>
  <c r="E12"/>
  <c r="E13"/>
  <c r="E14"/>
  <c r="E15"/>
  <c r="E16"/>
  <c r="E17"/>
  <c r="E18"/>
  <c r="E19"/>
  <c r="E20"/>
  <c r="E8"/>
  <c r="H41" i="32"/>
  <c r="H42"/>
  <c r="H43"/>
  <c r="H44"/>
  <c r="H11"/>
  <c r="H13"/>
  <c r="H14"/>
  <c r="H15"/>
  <c r="H16"/>
  <c r="H17"/>
  <c r="H18"/>
  <c r="H19"/>
  <c r="H20"/>
  <c r="H23"/>
  <c r="H24"/>
  <c r="H25"/>
  <c r="H27"/>
  <c r="H29"/>
  <c r="H30"/>
  <c r="H31"/>
  <c r="H21"/>
  <c r="H32"/>
  <c r="H97" i="2"/>
  <c r="H67" i="28"/>
  <c r="H68"/>
  <c r="H69" s="1"/>
  <c r="H52"/>
  <c r="H53"/>
  <c r="H28"/>
  <c r="E7"/>
  <c r="E8"/>
  <c r="E9" s="1"/>
  <c r="F54"/>
  <c r="C9"/>
  <c r="M94" i="24"/>
  <c r="M95"/>
  <c r="M96"/>
  <c r="M97"/>
  <c r="M98"/>
  <c r="M99"/>
  <c r="M100"/>
  <c r="M101"/>
  <c r="M102"/>
  <c r="M103" s="1"/>
  <c r="M12" s="1"/>
  <c r="H70" i="28"/>
  <c r="H71"/>
  <c r="H73"/>
  <c r="F74"/>
  <c r="F75" s="1"/>
  <c r="G69"/>
  <c r="G75" s="1"/>
  <c r="C69"/>
  <c r="C75" s="1"/>
  <c r="F55"/>
  <c r="H55" s="1"/>
  <c r="H56"/>
  <c r="H57"/>
  <c r="H58"/>
  <c r="F59"/>
  <c r="H59" s="1"/>
  <c r="G54"/>
  <c r="G60" s="1"/>
  <c r="C54"/>
  <c r="C60" s="1"/>
  <c r="F35"/>
  <c r="H35" s="1"/>
  <c r="F31"/>
  <c r="H31" s="1"/>
  <c r="H32"/>
  <c r="H33"/>
  <c r="H34"/>
  <c r="G30"/>
  <c r="G36"/>
  <c r="C30"/>
  <c r="C36"/>
  <c r="E10"/>
  <c r="E13"/>
  <c r="E12"/>
  <c r="D9"/>
  <c r="D14" s="1"/>
  <c r="C14"/>
  <c r="G6" i="12"/>
  <c r="G26"/>
  <c r="G36"/>
  <c r="F24" i="26"/>
  <c r="G24"/>
  <c r="E24"/>
  <c r="F25"/>
  <c r="D24"/>
  <c r="E25"/>
  <c r="C24"/>
  <c r="D25"/>
  <c r="B24"/>
  <c r="C25"/>
  <c r="G27" i="12"/>
  <c r="C4"/>
  <c r="D4" s="1"/>
  <c r="E4" s="1"/>
  <c r="F4" s="1"/>
  <c r="D6" i="2"/>
  <c r="E6" s="1"/>
  <c r="F6" s="1"/>
  <c r="G6" s="1"/>
  <c r="H6" s="1"/>
  <c r="D62"/>
  <c r="E62" s="1"/>
  <c r="F62" s="1"/>
  <c r="G62" s="1"/>
  <c r="H62" s="1"/>
  <c r="D116"/>
  <c r="E116" s="1"/>
  <c r="F116" s="1"/>
  <c r="G116" s="1"/>
  <c r="H116" s="1"/>
  <c r="F25" i="1"/>
  <c r="G25"/>
  <c r="H25" s="1"/>
  <c r="I25" s="1"/>
  <c r="F7"/>
  <c r="G7"/>
  <c r="H7" s="1"/>
  <c r="I7" s="1"/>
  <c r="G23" i="26"/>
  <c r="G22"/>
  <c r="O22"/>
  <c r="O23"/>
  <c r="O24"/>
  <c r="O25"/>
  <c r="O26"/>
  <c r="N27"/>
  <c r="M27"/>
  <c r="L27"/>
  <c r="K27"/>
  <c r="J27"/>
  <c r="B28"/>
  <c r="K15"/>
  <c r="L15" s="1"/>
  <c r="L7"/>
  <c r="L8"/>
  <c r="L9"/>
  <c r="L10"/>
  <c r="L11"/>
  <c r="L12"/>
  <c r="L13"/>
  <c r="L14"/>
  <c r="L6"/>
  <c r="D90" i="2"/>
  <c r="E90" s="1"/>
  <c r="F90" s="1"/>
  <c r="G90" s="1"/>
  <c r="H90" s="1"/>
  <c r="C114"/>
  <c r="D105"/>
  <c r="D107"/>
  <c r="E105" s="1"/>
  <c r="E107" s="1"/>
  <c r="F105" s="1"/>
  <c r="C30"/>
  <c r="D77"/>
  <c r="D21"/>
  <c r="N94" i="24"/>
  <c r="N95"/>
  <c r="N96"/>
  <c r="N97"/>
  <c r="O97" s="1"/>
  <c r="N98"/>
  <c r="O98" s="1"/>
  <c r="N99"/>
  <c r="N100"/>
  <c r="N101"/>
  <c r="O101" s="1"/>
  <c r="N102"/>
  <c r="O102" s="1"/>
  <c r="M116"/>
  <c r="N116"/>
  <c r="O116" s="1"/>
  <c r="M115"/>
  <c r="N115"/>
  <c r="O115" s="1"/>
  <c r="M111"/>
  <c r="N111"/>
  <c r="O111"/>
  <c r="M110"/>
  <c r="N110"/>
  <c r="O110" s="1"/>
  <c r="M109"/>
  <c r="N109"/>
  <c r="O109" s="1"/>
  <c r="M108"/>
  <c r="N108"/>
  <c r="M107"/>
  <c r="O107" s="1"/>
  <c r="N107"/>
  <c r="M106"/>
  <c r="M112" s="1"/>
  <c r="M13" s="1"/>
  <c r="N106"/>
  <c r="O106"/>
  <c r="O94"/>
  <c r="O96"/>
  <c r="O100"/>
  <c r="N82"/>
  <c r="N83"/>
  <c r="N84"/>
  <c r="N85"/>
  <c r="N86"/>
  <c r="N87"/>
  <c r="N88"/>
  <c r="N89"/>
  <c r="N90"/>
  <c r="M82"/>
  <c r="O82"/>
  <c r="M83"/>
  <c r="O83" s="1"/>
  <c r="M84"/>
  <c r="O84" s="1"/>
  <c r="M85"/>
  <c r="O85" s="1"/>
  <c r="M86"/>
  <c r="O86" s="1"/>
  <c r="M87"/>
  <c r="O87" s="1"/>
  <c r="M88"/>
  <c r="O88" s="1"/>
  <c r="M89"/>
  <c r="O89" s="1"/>
  <c r="M90"/>
  <c r="O40"/>
  <c r="O41"/>
  <c r="O42"/>
  <c r="O43"/>
  <c r="O44"/>
  <c r="O45"/>
  <c r="O46"/>
  <c r="O47"/>
  <c r="O48"/>
  <c r="O49"/>
  <c r="O50"/>
  <c r="O57"/>
  <c r="O58"/>
  <c r="O59"/>
  <c r="O60"/>
  <c r="O61"/>
  <c r="O64"/>
  <c r="O66"/>
  <c r="O69"/>
  <c r="O71"/>
  <c r="O73"/>
  <c r="O74"/>
  <c r="O75"/>
  <c r="O76"/>
  <c r="O77"/>
  <c r="O78"/>
  <c r="O28"/>
  <c r="O21"/>
  <c r="E94"/>
  <c r="E95"/>
  <c r="E96"/>
  <c r="E97"/>
  <c r="E98"/>
  <c r="E99"/>
  <c r="E100"/>
  <c r="E101"/>
  <c r="E102"/>
  <c r="E56"/>
  <c r="E57"/>
  <c r="E58"/>
  <c r="E59"/>
  <c r="E60"/>
  <c r="E61"/>
  <c r="E41"/>
  <c r="E42"/>
  <c r="E43"/>
  <c r="E44"/>
  <c r="E45"/>
  <c r="E46"/>
  <c r="E47"/>
  <c r="E49"/>
  <c r="E50"/>
  <c r="E51"/>
  <c r="E52"/>
  <c r="E48"/>
  <c r="D103"/>
  <c r="E40"/>
  <c r="E55"/>
  <c r="E64"/>
  <c r="E65"/>
  <c r="E66"/>
  <c r="E67"/>
  <c r="E68"/>
  <c r="E69"/>
  <c r="E70"/>
  <c r="E71"/>
  <c r="E73"/>
  <c r="E74"/>
  <c r="E75"/>
  <c r="E76"/>
  <c r="E77"/>
  <c r="E78"/>
  <c r="E28"/>
  <c r="E21"/>
  <c r="E22"/>
  <c r="E23"/>
  <c r="O23"/>
  <c r="E115"/>
  <c r="E107"/>
  <c r="E108"/>
  <c r="E109"/>
  <c r="E110"/>
  <c r="E111"/>
  <c r="E106"/>
  <c r="E112" s="1"/>
  <c r="E116"/>
  <c r="E85"/>
  <c r="E86"/>
  <c r="E87"/>
  <c r="E88"/>
  <c r="E89"/>
  <c r="E84"/>
  <c r="E83"/>
  <c r="E90" s="1"/>
  <c r="E82"/>
  <c r="D90"/>
  <c r="N11" s="1"/>
  <c r="M11"/>
  <c r="O11" s="1"/>
  <c r="O22"/>
  <c r="O27"/>
  <c r="O25"/>
  <c r="O26"/>
  <c r="O31"/>
  <c r="O32"/>
  <c r="O33"/>
  <c r="O34"/>
  <c r="N112"/>
  <c r="M117"/>
  <c r="N13"/>
  <c r="M14"/>
  <c r="E20"/>
  <c r="E27"/>
  <c r="E25"/>
  <c r="E26"/>
  <c r="E31"/>
  <c r="E32"/>
  <c r="E33"/>
  <c r="E34"/>
  <c r="E117"/>
  <c r="D112"/>
  <c r="D117"/>
  <c r="D14" s="1"/>
  <c r="C11"/>
  <c r="D11"/>
  <c r="E11" s="1"/>
  <c r="D12"/>
  <c r="C13"/>
  <c r="D13"/>
  <c r="C14"/>
  <c r="I10" i="1"/>
  <c r="F10"/>
  <c r="G10"/>
  <c r="H10"/>
  <c r="E10"/>
  <c r="BG30" i="50"/>
  <c r="BG39"/>
  <c r="BG42"/>
  <c r="BG68"/>
  <c r="BG50"/>
  <c r="BG51"/>
  <c r="BG52"/>
  <c r="BG53"/>
  <c r="BG54"/>
  <c r="BG55"/>
  <c r="BG56"/>
  <c r="BG57"/>
  <c r="BG59"/>
  <c r="E69"/>
  <c r="F69"/>
  <c r="G69"/>
  <c r="I69"/>
  <c r="J69"/>
  <c r="K69"/>
  <c r="L69"/>
  <c r="M69"/>
  <c r="N69"/>
  <c r="O69"/>
  <c r="Q69"/>
  <c r="R69"/>
  <c r="S69"/>
  <c r="T69"/>
  <c r="U69"/>
  <c r="V69"/>
  <c r="W69"/>
  <c r="X69"/>
  <c r="Y69"/>
  <c r="Z69"/>
  <c r="AA69"/>
  <c r="AC69"/>
  <c r="AD69"/>
  <c r="AE69"/>
  <c r="AF69"/>
  <c r="AG69"/>
  <c r="AH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H93"/>
  <c r="H98"/>
  <c r="BG61"/>
  <c r="BG62"/>
  <c r="BG63"/>
  <c r="BG64"/>
  <c r="BG65"/>
  <c r="BG66"/>
  <c r="BG67"/>
  <c r="BG38"/>
  <c r="BG34"/>
  <c r="BG33"/>
  <c r="BG32"/>
  <c r="BG31"/>
  <c r="BG28"/>
  <c r="BG27"/>
  <c r="BG26"/>
  <c r="BG24"/>
  <c r="BG23"/>
  <c r="BG8"/>
  <c r="BG9"/>
  <c r="BG10"/>
  <c r="BG11"/>
  <c r="BG12"/>
  <c r="BG13"/>
  <c r="BG14"/>
  <c r="BG15"/>
  <c r="BG36"/>
  <c r="F81"/>
  <c r="Q3"/>
  <c r="E7" i="41"/>
  <c r="C25" i="12"/>
  <c r="C28"/>
  <c r="E25"/>
  <c r="E28"/>
  <c r="B25"/>
  <c r="D25"/>
  <c r="D28" s="1"/>
  <c r="F25"/>
  <c r="F28" s="1"/>
  <c r="C213" i="24"/>
  <c r="M124" i="42"/>
  <c r="E11" i="31"/>
  <c r="C120" i="2"/>
  <c r="C215" i="24"/>
  <c r="G87" i="28"/>
  <c r="D215" i="24" s="1"/>
  <c r="E16" i="45"/>
  <c r="D9"/>
  <c r="D8" s="1"/>
  <c r="D22"/>
  <c r="C100" i="2"/>
  <c r="C113" s="1"/>
  <c r="D17" i="1" s="1"/>
  <c r="D95" i="2"/>
  <c r="F10" i="49"/>
  <c r="D55" i="48"/>
  <c r="H10" i="49"/>
  <c r="H15" s="1"/>
  <c r="E15" i="12" s="1"/>
  <c r="F47" s="1"/>
  <c r="F55" i="48"/>
  <c r="C216" i="24"/>
  <c r="H88" i="28"/>
  <c r="G85"/>
  <c r="D213" i="24" s="1"/>
  <c r="E15" i="45"/>
  <c r="G89" i="28"/>
  <c r="E14" i="45"/>
  <c r="G10" i="49"/>
  <c r="G15"/>
  <c r="D15" i="12" s="1"/>
  <c r="E47" s="1"/>
  <c r="E55" i="48"/>
  <c r="N117" i="24"/>
  <c r="N14" s="1"/>
  <c r="O14" s="1"/>
  <c r="F5" i="41"/>
  <c r="M44" i="42"/>
  <c r="F103" i="45"/>
  <c r="F16" s="1"/>
  <c r="F29"/>
  <c r="F28" s="1"/>
  <c r="E9"/>
  <c r="E8" s="1"/>
  <c r="G10" i="48"/>
  <c r="F115" i="50"/>
  <c r="H23" i="1"/>
  <c r="BE73" i="50"/>
  <c r="G94" s="1"/>
  <c r="BE72"/>
  <c r="G91" s="1"/>
  <c r="G97" i="2"/>
  <c r="F97"/>
  <c r="E97"/>
  <c r="F95" s="1"/>
  <c r="E115" i="50"/>
  <c r="G23" i="1"/>
  <c r="BE76" i="50"/>
  <c r="G96" s="1"/>
  <c r="BE77"/>
  <c r="G97" s="1"/>
  <c r="G112" s="1"/>
  <c r="D56" i="45"/>
  <c r="D40" s="1"/>
  <c r="BG48" i="50"/>
  <c r="C18" i="51" s="1"/>
  <c r="C21" s="1"/>
  <c r="E109" i="2"/>
  <c r="D97"/>
  <c r="D112" s="1"/>
  <c r="E14" i="1" s="1"/>
  <c r="E15" i="49"/>
  <c r="B15" i="12" s="1"/>
  <c r="C47" s="1"/>
  <c r="F191" i="24"/>
  <c r="F192" s="1"/>
  <c r="C41" i="2"/>
  <c r="D37" s="1"/>
  <c r="D41" s="1"/>
  <c r="C79" i="24"/>
  <c r="C9" s="1"/>
  <c r="D35"/>
  <c r="H89" i="28"/>
  <c r="C119" i="24"/>
  <c r="H95" i="2"/>
  <c r="H93"/>
  <c r="F15" i="49"/>
  <c r="C15" i="12" s="1"/>
  <c r="I10" i="49"/>
  <c r="G25" i="12"/>
  <c r="G28" s="1"/>
  <c r="B28"/>
  <c r="H87" i="28"/>
  <c r="H85"/>
  <c r="D8" i="24"/>
  <c r="C56" i="2"/>
  <c r="C139" s="1"/>
  <c r="E95"/>
  <c r="E114" s="1"/>
  <c r="E93"/>
  <c r="G95"/>
  <c r="G93"/>
  <c r="D214" i="24"/>
  <c r="C155" i="2"/>
  <c r="C43"/>
  <c r="C42"/>
  <c r="D38" s="1"/>
  <c r="E216" i="24"/>
  <c r="H216"/>
  <c r="J216" s="1"/>
  <c r="D114" i="2"/>
  <c r="D99"/>
  <c r="E99" s="1"/>
  <c r="H215" i="24"/>
  <c r="H213"/>
  <c r="D100" i="2"/>
  <c r="E8" i="24"/>
  <c r="G109" i="50" l="1"/>
  <c r="I22" i="1"/>
  <c r="D13" i="45"/>
  <c r="H47" i="2"/>
  <c r="H159"/>
  <c r="G111" i="50" s="1"/>
  <c r="G106"/>
  <c r="G83"/>
  <c r="H19" i="2"/>
  <c r="E124" i="42"/>
  <c r="H96" i="28"/>
  <c r="D99"/>
  <c r="H99" s="1"/>
  <c r="D13" i="41"/>
  <c r="E19"/>
  <c r="F19" s="1"/>
  <c r="D5"/>
  <c r="E12"/>
  <c r="F12" s="1"/>
  <c r="F23" i="1"/>
  <c r="D115" i="50"/>
  <c r="AN73"/>
  <c r="E94" s="1"/>
  <c r="AN72"/>
  <c r="E91" s="1"/>
  <c r="E4" i="31"/>
  <c r="E6" s="1"/>
  <c r="C177" i="2" s="1"/>
  <c r="C6" i="31"/>
  <c r="M52" i="24"/>
  <c r="O52" s="1"/>
  <c r="N52"/>
  <c r="M20"/>
  <c r="N20"/>
  <c r="N35" s="1"/>
  <c r="N8" s="1"/>
  <c r="D18" i="45"/>
  <c r="F201" i="24"/>
  <c r="F194"/>
  <c r="H6" i="50" s="1"/>
  <c r="J12" i="42"/>
  <c r="B12" i="41"/>
  <c r="F30" i="28"/>
  <c r="F36" s="1"/>
  <c r="H29"/>
  <c r="H30" s="1"/>
  <c r="C115" i="50"/>
  <c r="E23" i="1"/>
  <c r="AB73" i="50"/>
  <c r="D94" s="1"/>
  <c r="AB72"/>
  <c r="D91" s="1"/>
  <c r="D178" i="24"/>
  <c r="D176"/>
  <c r="C200"/>
  <c r="D200" s="1"/>
  <c r="D177"/>
  <c r="D191"/>
  <c r="D179"/>
  <c r="E14"/>
  <c r="N103"/>
  <c r="N12" s="1"/>
  <c r="O12" s="1"/>
  <c r="O99"/>
  <c r="O95"/>
  <c r="H54" i="28"/>
  <c r="H60" s="1"/>
  <c r="H23" i="33"/>
  <c r="D20" i="41"/>
  <c r="D24" i="42"/>
  <c r="D14"/>
  <c r="G21" i="48"/>
  <c r="E36" i="28"/>
  <c r="F94" s="1"/>
  <c r="D55" i="46"/>
  <c r="H45"/>
  <c r="H30"/>
  <c r="H7"/>
  <c r="G55"/>
  <c r="H108" i="50"/>
  <c r="E5" i="31"/>
  <c r="C121" i="2" s="1"/>
  <c r="D20" i="1" s="1"/>
  <c r="BH18" i="50"/>
  <c r="BE80"/>
  <c r="G99" s="1"/>
  <c r="G101" s="1"/>
  <c r="AZ80"/>
  <c r="F99" s="1"/>
  <c r="E60"/>
  <c r="AZ76"/>
  <c r="F96" s="1"/>
  <c r="O68" i="24"/>
  <c r="K65"/>
  <c r="K55"/>
  <c r="O51"/>
  <c r="F160"/>
  <c r="F161" s="1"/>
  <c r="F200" s="1"/>
  <c r="C44" i="2"/>
  <c r="C57" s="1"/>
  <c r="E13" i="24"/>
  <c r="E35"/>
  <c r="O108"/>
  <c r="O112" s="1"/>
  <c r="O27" i="26"/>
  <c r="H74" i="28"/>
  <c r="H75" s="1"/>
  <c r="E14"/>
  <c r="D161" i="24"/>
  <c r="M120" i="42"/>
  <c r="M122" s="1"/>
  <c r="M54"/>
  <c r="J72"/>
  <c r="K124" s="1"/>
  <c r="F34" i="45"/>
  <c r="F10" s="1"/>
  <c r="D21"/>
  <c r="G19" i="48"/>
  <c r="G12"/>
  <c r="G9"/>
  <c r="G41"/>
  <c r="G30"/>
  <c r="E90" i="28"/>
  <c r="F97" s="1"/>
  <c r="D63" i="45"/>
  <c r="D12" s="1"/>
  <c r="D11" s="1"/>
  <c r="D7" s="1"/>
  <c r="F56"/>
  <c r="F41"/>
  <c r="F74"/>
  <c r="F64"/>
  <c r="E63"/>
  <c r="E12" s="1"/>
  <c r="H41" i="46"/>
  <c r="H113" i="50"/>
  <c r="F83" i="28"/>
  <c r="E108" i="2"/>
  <c r="AN80" i="50"/>
  <c r="E99" s="1"/>
  <c r="AB80"/>
  <c r="D99" s="1"/>
  <c r="P80"/>
  <c r="C99" s="1"/>
  <c r="AI48"/>
  <c r="P48"/>
  <c r="K70" i="24"/>
  <c r="I215"/>
  <c r="J215" s="1"/>
  <c r="E215"/>
  <c r="E41" i="1"/>
  <c r="E57" s="1"/>
  <c r="G18" i="48"/>
  <c r="G16" s="1"/>
  <c r="F93" i="2"/>
  <c r="G11" i="48"/>
  <c r="G7" s="1"/>
  <c r="I11" i="49"/>
  <c r="E19" i="2"/>
  <c r="D106" i="50"/>
  <c r="D83"/>
  <c r="B5" i="12"/>
  <c r="D5"/>
  <c r="D8" s="1"/>
  <c r="G40" i="1" s="1"/>
  <c r="E5" i="12"/>
  <c r="E8" s="1"/>
  <c r="H40" i="1" s="1"/>
  <c r="E45" i="12"/>
  <c r="E48" s="1"/>
  <c r="D45"/>
  <c r="D48" s="1"/>
  <c r="F45"/>
  <c r="F48" s="1"/>
  <c r="B45"/>
  <c r="B48" s="1"/>
  <c r="C5"/>
  <c r="C8" s="1"/>
  <c r="F40" i="1" s="1"/>
  <c r="F5" i="12"/>
  <c r="F8" s="1"/>
  <c r="I40" i="1" s="1"/>
  <c r="C45" i="12"/>
  <c r="C48" s="1"/>
  <c r="I213" i="24"/>
  <c r="J213" s="1"/>
  <c r="E213"/>
  <c r="F22" i="1"/>
  <c r="D109" i="50"/>
  <c r="F99" i="2"/>
  <c r="E100"/>
  <c r="C180"/>
  <c r="E37"/>
  <c r="E41" s="1"/>
  <c r="F15" i="12"/>
  <c r="G7" s="1"/>
  <c r="G37" s="1"/>
  <c r="D47"/>
  <c r="C122" i="24"/>
  <c r="C10"/>
  <c r="C15" s="1"/>
  <c r="E22" i="45"/>
  <c r="E21"/>
  <c r="I124" i="42"/>
  <c r="D6" i="26"/>
  <c r="G6" s="1"/>
  <c r="C7"/>
  <c r="J20" i="42"/>
  <c r="C112" i="2"/>
  <c r="D14" i="1" s="1"/>
  <c r="D93" i="2"/>
  <c r="C98"/>
  <c r="D94" s="1"/>
  <c r="D98" s="1"/>
  <c r="E94" s="1"/>
  <c r="E98" s="1"/>
  <c r="F94" s="1"/>
  <c r="F98" s="1"/>
  <c r="G94" s="1"/>
  <c r="G98" s="1"/>
  <c r="H94" s="1"/>
  <c r="H98" s="1"/>
  <c r="H75"/>
  <c r="G114" i="50"/>
  <c r="G116" s="1"/>
  <c r="G75" i="2"/>
  <c r="F114" i="50"/>
  <c r="AZ73"/>
  <c r="F94" s="1"/>
  <c r="AZ72"/>
  <c r="F91" s="1"/>
  <c r="M67" i="24"/>
  <c r="N67"/>
  <c r="M65"/>
  <c r="N65"/>
  <c r="M56"/>
  <c r="N56"/>
  <c r="M55"/>
  <c r="N55"/>
  <c r="C214"/>
  <c r="C153" i="2"/>
  <c r="E79" i="24"/>
  <c r="E119" s="1"/>
  <c r="E103"/>
  <c r="O103"/>
  <c r="O117"/>
  <c r="H36" i="28"/>
  <c r="E12" i="24"/>
  <c r="E40" i="45"/>
  <c r="I13" i="49"/>
  <c r="AB76" i="50"/>
  <c r="D96" s="1"/>
  <c r="H24" i="46"/>
  <c r="H21" s="1"/>
  <c r="H55" s="1"/>
  <c r="E21"/>
  <c r="D6" i="41"/>
  <c r="D26" s="1"/>
  <c r="D63" i="2" s="1"/>
  <c r="B31" i="41"/>
  <c r="D31" s="1"/>
  <c r="B7"/>
  <c r="E13"/>
  <c r="F13" s="1"/>
  <c r="B30"/>
  <c r="D12"/>
  <c r="D25" s="1"/>
  <c r="D7" i="2" s="1"/>
  <c r="B14" i="41"/>
  <c r="E18"/>
  <c r="F18" s="1"/>
  <c r="F82" i="28"/>
  <c r="C84"/>
  <c r="C90" s="1"/>
  <c r="I23" i="1"/>
  <c r="G115" i="50"/>
  <c r="G117" s="1"/>
  <c r="F75" i="2"/>
  <c r="E114" i="50"/>
  <c r="E75" i="2"/>
  <c r="D114" i="50"/>
  <c r="D75" i="2"/>
  <c r="H99" i="50"/>
  <c r="C114"/>
  <c r="M70" i="24"/>
  <c r="N70"/>
  <c r="O90"/>
  <c r="O13"/>
  <c r="D30" i="41"/>
  <c r="F63" i="45"/>
  <c r="E55" i="46"/>
  <c r="AN76" i="50"/>
  <c r="E96" s="1"/>
  <c r="AB77"/>
  <c r="D97" s="1"/>
  <c r="D112" s="1"/>
  <c r="F60" i="28"/>
  <c r="F25" i="45"/>
  <c r="F23" s="1"/>
  <c r="D79" i="24"/>
  <c r="H21" i="42"/>
  <c r="D110" i="2"/>
  <c r="D113" s="1"/>
  <c r="E17" i="1" s="1"/>
  <c r="P76" i="50" l="1"/>
  <c r="C96" s="1"/>
  <c r="P69"/>
  <c r="P77"/>
  <c r="C97" s="1"/>
  <c r="C112" s="1"/>
  <c r="D109" i="28"/>
  <c r="C211" i="24"/>
  <c r="E34" i="1"/>
  <c r="E35"/>
  <c r="H13" i="42"/>
  <c r="T8" i="24"/>
  <c r="E115" i="28" s="1"/>
  <c r="Q8" i="24"/>
  <c r="F19" i="2"/>
  <c r="E83" i="50"/>
  <c r="E106"/>
  <c r="N79" i="24"/>
  <c r="F40" i="45"/>
  <c r="F13" s="1"/>
  <c r="G55" i="48"/>
  <c r="F202" i="24"/>
  <c r="N72" i="42"/>
  <c r="O110" s="1"/>
  <c r="D39" i="45"/>
  <c r="AN77" i="50"/>
  <c r="E97" s="1"/>
  <c r="E112" s="1"/>
  <c r="AI69"/>
  <c r="F108" i="2"/>
  <c r="E112"/>
  <c r="F14" i="1" s="1"/>
  <c r="F106" i="2"/>
  <c r="E110"/>
  <c r="E113" s="1"/>
  <c r="F17" i="1" s="1"/>
  <c r="G159" i="2"/>
  <c r="F111" i="50" s="1"/>
  <c r="G47" i="2"/>
  <c r="BG6" i="50"/>
  <c r="BH7" s="1"/>
  <c r="C92"/>
  <c r="H20"/>
  <c r="M35" i="24"/>
  <c r="M8" s="1"/>
  <c r="O20"/>
  <c r="O35" s="1"/>
  <c r="E109" i="50"/>
  <c r="E117" s="1"/>
  <c r="G22" i="1"/>
  <c r="D114" i="45"/>
  <c r="N124" i="42"/>
  <c r="F99" i="28"/>
  <c r="N9" i="24"/>
  <c r="N119"/>
  <c r="G21" i="42"/>
  <c r="H22"/>
  <c r="F21" i="45"/>
  <c r="F9"/>
  <c r="F8" s="1"/>
  <c r="F22"/>
  <c r="F12"/>
  <c r="F11" s="1"/>
  <c r="F39"/>
  <c r="D35" i="2"/>
  <c r="D111" i="50"/>
  <c r="E47" i="2"/>
  <c r="E214" i="24"/>
  <c r="H214"/>
  <c r="I228"/>
  <c r="O55"/>
  <c r="M79"/>
  <c r="F109" i="50"/>
  <c r="F117" s="1"/>
  <c r="H22" i="1"/>
  <c r="G82" i="28"/>
  <c r="H82" s="1"/>
  <c r="G99" i="2"/>
  <c r="F100"/>
  <c r="F56" i="1"/>
  <c r="G56"/>
  <c r="O70" i="24"/>
  <c r="D116" i="50"/>
  <c r="O56" i="24"/>
  <c r="O65"/>
  <c r="O67"/>
  <c r="H115" i="50"/>
  <c r="H112"/>
  <c r="D117"/>
  <c r="H96"/>
  <c r="D101"/>
  <c r="D9" i="24"/>
  <c r="D119"/>
  <c r="F159" i="2"/>
  <c r="E111" i="50" s="1"/>
  <c r="E116" s="1"/>
  <c r="E101"/>
  <c r="F47" i="2"/>
  <c r="H114" i="50"/>
  <c r="D80" i="2"/>
  <c r="D79"/>
  <c r="E77" s="1"/>
  <c r="D121"/>
  <c r="F84" i="28"/>
  <c r="F90" s="1"/>
  <c r="C210" i="24"/>
  <c r="D114" i="28"/>
  <c r="E20" i="41"/>
  <c r="D14"/>
  <c r="E14"/>
  <c r="D7"/>
  <c r="I15" i="49"/>
  <c r="J13" s="1"/>
  <c r="E39" i="45"/>
  <c r="G83" i="28" s="1"/>
  <c r="E13" i="45"/>
  <c r="E11" s="1"/>
  <c r="D149" i="2"/>
  <c r="D153" s="1"/>
  <c r="C168"/>
  <c r="C181" s="1"/>
  <c r="C182" s="1"/>
  <c r="C156"/>
  <c r="C169" s="1"/>
  <c r="C154"/>
  <c r="D150" s="1"/>
  <c r="G19"/>
  <c r="F106" i="50"/>
  <c r="F83"/>
  <c r="F101"/>
  <c r="C8" i="26"/>
  <c r="F37" i="2"/>
  <c r="F41" s="1"/>
  <c r="I56" i="1"/>
  <c r="I63" s="1"/>
  <c r="H56"/>
  <c r="B8" i="12"/>
  <c r="E40" i="1" s="1"/>
  <c r="G5" i="12"/>
  <c r="F116" i="50"/>
  <c r="H97"/>
  <c r="S8" i="24" l="1"/>
  <c r="E114" i="28" s="1"/>
  <c r="P8" i="24"/>
  <c r="O8"/>
  <c r="C107" i="50"/>
  <c r="H107" s="1"/>
  <c r="H92"/>
  <c r="J13" i="42"/>
  <c r="J14" s="1"/>
  <c r="G13"/>
  <c r="H14"/>
  <c r="H15" s="1"/>
  <c r="D159" i="2"/>
  <c r="D47"/>
  <c r="C111" i="50"/>
  <c r="F63" i="1"/>
  <c r="H60" i="50"/>
  <c r="H69"/>
  <c r="BH69" s="1"/>
  <c r="BG20"/>
  <c r="BG69" s="1"/>
  <c r="F109" i="2"/>
  <c r="G109" s="1"/>
  <c r="F107"/>
  <c r="G105" s="1"/>
  <c r="F114"/>
  <c r="G108"/>
  <c r="F112"/>
  <c r="G14" i="1" s="1"/>
  <c r="G106" i="2"/>
  <c r="G114" s="1"/>
  <c r="F110"/>
  <c r="F113" s="1"/>
  <c r="G17" i="1" s="1"/>
  <c r="H63"/>
  <c r="G8" i="12"/>
  <c r="G38" s="1"/>
  <c r="G35"/>
  <c r="G40"/>
  <c r="G37" i="2"/>
  <c r="G41" s="1"/>
  <c r="F41" i="1"/>
  <c r="E149" i="2"/>
  <c r="E153" s="1"/>
  <c r="H83" i="28"/>
  <c r="D111" s="1"/>
  <c r="D211" i="24"/>
  <c r="D110" i="28"/>
  <c r="J10" i="49"/>
  <c r="J14"/>
  <c r="J11"/>
  <c r="J9"/>
  <c r="J8"/>
  <c r="J15" s="1"/>
  <c r="J12"/>
  <c r="H210" i="24"/>
  <c r="C212"/>
  <c r="E210"/>
  <c r="D10"/>
  <c r="D15" s="1"/>
  <c r="E9"/>
  <c r="E10" s="1"/>
  <c r="E15" s="1"/>
  <c r="D210"/>
  <c r="G84" i="28"/>
  <c r="G90" s="1"/>
  <c r="D115"/>
  <c r="F115" s="1"/>
  <c r="M119" i="24"/>
  <c r="M9"/>
  <c r="I214"/>
  <c r="J214" s="1"/>
  <c r="D147" i="2"/>
  <c r="D39"/>
  <c r="E35"/>
  <c r="D7" i="26"/>
  <c r="J21" i="42"/>
  <c r="T9" i="24"/>
  <c r="E110" i="28" s="1"/>
  <c r="Q9" i="24"/>
  <c r="N10"/>
  <c r="N15" s="1"/>
  <c r="G63" i="1"/>
  <c r="F114" i="45"/>
  <c r="E56" i="1"/>
  <c r="E63" s="1"/>
  <c r="E39"/>
  <c r="E55" s="1"/>
  <c r="H74"/>
  <c r="I74"/>
  <c r="C119" i="2"/>
  <c r="C118"/>
  <c r="D19" i="1" s="1"/>
  <c r="E7" i="45"/>
  <c r="E18"/>
  <c r="F114" i="28"/>
  <c r="D118"/>
  <c r="D116"/>
  <c r="H84"/>
  <c r="H90" s="1"/>
  <c r="E121" i="2"/>
  <c r="E20" i="1"/>
  <c r="E80" i="2"/>
  <c r="D82"/>
  <c r="E78"/>
  <c r="E81" s="1"/>
  <c r="F74" i="1"/>
  <c r="G100" i="2"/>
  <c r="H99"/>
  <c r="H100" s="1"/>
  <c r="F18" i="45"/>
  <c r="F7"/>
  <c r="H23" i="42"/>
  <c r="G22"/>
  <c r="H111" i="50"/>
  <c r="E114" i="45"/>
  <c r="O79" i="24"/>
  <c r="O119" s="1"/>
  <c r="G112" i="2" l="1"/>
  <c r="H14" i="1" s="1"/>
  <c r="G110" i="2"/>
  <c r="H106"/>
  <c r="H114" s="1"/>
  <c r="H108"/>
  <c r="H112" s="1"/>
  <c r="I14" i="1" s="1"/>
  <c r="P72" i="50"/>
  <c r="C91" s="1"/>
  <c r="BG60"/>
  <c r="P73"/>
  <c r="C94" s="1"/>
  <c r="D164" i="2"/>
  <c r="D163"/>
  <c r="E161" s="1"/>
  <c r="G113"/>
  <c r="H17" i="1" s="1"/>
  <c r="G107" i="2"/>
  <c r="H105" s="1"/>
  <c r="H107" s="1"/>
  <c r="I47"/>
  <c r="D51"/>
  <c r="E49" s="1"/>
  <c r="D52"/>
  <c r="H109"/>
  <c r="H110" s="1"/>
  <c r="H113" s="1"/>
  <c r="I17" i="1" s="1"/>
  <c r="H24" i="42"/>
  <c r="G23"/>
  <c r="F78" i="2"/>
  <c r="E82"/>
  <c r="F80"/>
  <c r="F121"/>
  <c r="F20" i="1"/>
  <c r="H114" i="28"/>
  <c r="F116"/>
  <c r="C69" i="2"/>
  <c r="E74" i="1"/>
  <c r="E39" i="2"/>
  <c r="F35"/>
  <c r="D151"/>
  <c r="E147"/>
  <c r="P9" i="24"/>
  <c r="M122"/>
  <c r="S9"/>
  <c r="O9"/>
  <c r="O10" s="1"/>
  <c r="O15" s="1"/>
  <c r="M10"/>
  <c r="M15" s="1"/>
  <c r="C71" i="2"/>
  <c r="H115" i="28"/>
  <c r="I210" i="24"/>
  <c r="D212"/>
  <c r="C217"/>
  <c r="C219"/>
  <c r="D119" i="28"/>
  <c r="F110"/>
  <c r="H37" i="2"/>
  <c r="H41" s="1"/>
  <c r="F81"/>
  <c r="D120" i="28"/>
  <c r="E7" i="26"/>
  <c r="E8" s="1"/>
  <c r="H41" i="1" s="1"/>
  <c r="J22" i="42"/>
  <c r="F34" i="1"/>
  <c r="F35"/>
  <c r="G74"/>
  <c r="D8" i="26"/>
  <c r="D58" i="2"/>
  <c r="D43"/>
  <c r="D42"/>
  <c r="E38" s="1"/>
  <c r="E42" s="1"/>
  <c r="F38" s="1"/>
  <c r="I200" i="24"/>
  <c r="J210"/>
  <c r="E211"/>
  <c r="F149" i="2"/>
  <c r="F153" s="1"/>
  <c r="F57" i="1"/>
  <c r="F39"/>
  <c r="F55" s="1"/>
  <c r="E79" i="2"/>
  <c r="F77" s="1"/>
  <c r="G24" i="42"/>
  <c r="J24" s="1"/>
  <c r="E212" i="24"/>
  <c r="E22" i="1" l="1"/>
  <c r="C109" i="50"/>
  <c r="C106"/>
  <c r="D19" i="2"/>
  <c r="C83" i="50"/>
  <c r="H91"/>
  <c r="H101" s="1"/>
  <c r="C101"/>
  <c r="E58" i="2"/>
  <c r="D54"/>
  <c r="E50"/>
  <c r="E53" s="1"/>
  <c r="E52"/>
  <c r="D56"/>
  <c r="D139" s="1"/>
  <c r="D166"/>
  <c r="D168"/>
  <c r="D181" s="1"/>
  <c r="E162"/>
  <c r="E165" s="1"/>
  <c r="F79"/>
  <c r="G77" s="1"/>
  <c r="G41" i="1"/>
  <c r="H57"/>
  <c r="H39"/>
  <c r="H55" s="1"/>
  <c r="E151" i="2"/>
  <c r="E170" s="1"/>
  <c r="F147"/>
  <c r="G35"/>
  <c r="F39"/>
  <c r="D65"/>
  <c r="C70"/>
  <c r="D66" s="1"/>
  <c r="C72"/>
  <c r="C85" s="1"/>
  <c r="D16" i="1" s="1"/>
  <c r="E37" s="1"/>
  <c r="C84" i="2"/>
  <c r="D13" i="1" s="1"/>
  <c r="D67" i="2"/>
  <c r="D86" s="1"/>
  <c r="E36" i="1" s="1"/>
  <c r="E33" s="1"/>
  <c r="E54" s="1"/>
  <c r="G121" i="2"/>
  <c r="G20" i="1"/>
  <c r="F42" i="2"/>
  <c r="G38" s="1"/>
  <c r="G149"/>
  <c r="G153" s="1"/>
  <c r="E217" i="24"/>
  <c r="E219"/>
  <c r="E64" i="1"/>
  <c r="E43" i="2"/>
  <c r="D44"/>
  <c r="D57" s="1"/>
  <c r="H110" i="28"/>
  <c r="F119"/>
  <c r="D217" i="24"/>
  <c r="D219"/>
  <c r="E109" i="28"/>
  <c r="F109" s="1"/>
  <c r="H211" i="24"/>
  <c r="D155" i="2"/>
  <c r="D170"/>
  <c r="D154"/>
  <c r="E150" s="1"/>
  <c r="E154" s="1"/>
  <c r="F150" s="1"/>
  <c r="D74" i="1"/>
  <c r="G34"/>
  <c r="G35"/>
  <c r="G78" i="2"/>
  <c r="G81" s="1"/>
  <c r="G80"/>
  <c r="F82"/>
  <c r="F7" i="26"/>
  <c r="J23" i="42"/>
  <c r="H106" i="50" l="1"/>
  <c r="H116" s="1"/>
  <c r="C116"/>
  <c r="E29" i="1"/>
  <c r="E28"/>
  <c r="E51" i="2"/>
  <c r="F49" s="1"/>
  <c r="E54"/>
  <c r="F50"/>
  <c r="E56"/>
  <c r="E139" s="1"/>
  <c r="F52"/>
  <c r="D177"/>
  <c r="D24"/>
  <c r="D23"/>
  <c r="E21" s="1"/>
  <c r="D123"/>
  <c r="E123" s="1"/>
  <c r="F123" s="1"/>
  <c r="G123" s="1"/>
  <c r="H123" s="1"/>
  <c r="C117" i="50"/>
  <c r="H109"/>
  <c r="H117" s="1"/>
  <c r="G79" i="2"/>
  <c r="H77" s="1"/>
  <c r="F58"/>
  <c r="F8" i="26"/>
  <c r="G7"/>
  <c r="H109" i="28"/>
  <c r="F111"/>
  <c r="F120" s="1"/>
  <c r="F118"/>
  <c r="C13" i="2"/>
  <c r="I202" i="24"/>
  <c r="H212"/>
  <c r="E75" i="1"/>
  <c r="E62"/>
  <c r="H149" i="2"/>
  <c r="H153" s="1"/>
  <c r="H20" i="1"/>
  <c r="H121" i="2"/>
  <c r="I20" i="1" s="1"/>
  <c r="G147" i="2"/>
  <c r="F151"/>
  <c r="F154" s="1"/>
  <c r="G150" s="1"/>
  <c r="D71"/>
  <c r="D70"/>
  <c r="E66" s="1"/>
  <c r="H80"/>
  <c r="H78"/>
  <c r="H81" s="1"/>
  <c r="G82"/>
  <c r="E155"/>
  <c r="D156"/>
  <c r="D169" s="1"/>
  <c r="F43"/>
  <c r="E44"/>
  <c r="E57" s="1"/>
  <c r="H34" i="1"/>
  <c r="H35"/>
  <c r="D69" i="2"/>
  <c r="E63" s="1"/>
  <c r="G39"/>
  <c r="H35"/>
  <c r="H39" s="1"/>
  <c r="G57" i="1"/>
  <c r="G39"/>
  <c r="G55" s="1"/>
  <c r="D180" i="2" l="1"/>
  <c r="D182" s="1"/>
  <c r="D118" s="1"/>
  <c r="E19" i="1" s="1"/>
  <c r="E177" i="2"/>
  <c r="G42"/>
  <c r="H38" s="1"/>
  <c r="H42" s="1"/>
  <c r="D26"/>
  <c r="E24"/>
  <c r="E22"/>
  <c r="E25" s="1"/>
  <c r="G52"/>
  <c r="G50"/>
  <c r="F56"/>
  <c r="F139" s="1"/>
  <c r="F51"/>
  <c r="G49" s="1"/>
  <c r="F53"/>
  <c r="H79"/>
  <c r="E67"/>
  <c r="E86" s="1"/>
  <c r="F36" i="1" s="1"/>
  <c r="G151" i="2"/>
  <c r="G154" s="1"/>
  <c r="H150" s="1"/>
  <c r="H147"/>
  <c r="H151" s="1"/>
  <c r="E73" i="1"/>
  <c r="G64"/>
  <c r="F64"/>
  <c r="E65" i="2"/>
  <c r="E69" s="1"/>
  <c r="D72"/>
  <c r="D85" s="1"/>
  <c r="E16" i="1" s="1"/>
  <c r="F37" s="1"/>
  <c r="D84" i="2"/>
  <c r="E13" i="1" s="1"/>
  <c r="G43" i="2"/>
  <c r="F44"/>
  <c r="F155"/>
  <c r="E156"/>
  <c r="H226" i="24"/>
  <c r="H217"/>
  <c r="H219"/>
  <c r="I199"/>
  <c r="I211"/>
  <c r="I41" i="1"/>
  <c r="G8" i="26"/>
  <c r="I35" i="1"/>
  <c r="I34"/>
  <c r="C28" i="2"/>
  <c r="D9"/>
  <c r="D11"/>
  <c r="D30" s="1"/>
  <c r="E30" i="1" s="1"/>
  <c r="H82" i="2"/>
  <c r="F28" i="1" l="1"/>
  <c r="F29"/>
  <c r="H50" i="2"/>
  <c r="G56"/>
  <c r="G139" s="1"/>
  <c r="H52"/>
  <c r="H56" s="1"/>
  <c r="H139" s="1"/>
  <c r="G54"/>
  <c r="E26"/>
  <c r="F24"/>
  <c r="F22"/>
  <c r="F177"/>
  <c r="E180"/>
  <c r="G51"/>
  <c r="H49" s="1"/>
  <c r="G53"/>
  <c r="H53" s="1"/>
  <c r="H54" s="1"/>
  <c r="E23"/>
  <c r="F21" s="1"/>
  <c r="F23" s="1"/>
  <c r="G21" s="1"/>
  <c r="F54"/>
  <c r="F57"/>
  <c r="F25"/>
  <c r="G58"/>
  <c r="E71"/>
  <c r="D12" i="1"/>
  <c r="C138" i="2"/>
  <c r="C15"/>
  <c r="I212" i="24"/>
  <c r="J211"/>
  <c r="J212" s="1"/>
  <c r="G155" i="2"/>
  <c r="F156"/>
  <c r="F75" i="1"/>
  <c r="F62"/>
  <c r="D13" i="2"/>
  <c r="E7"/>
  <c r="I57" i="1"/>
  <c r="I39"/>
  <c r="I55" s="1"/>
  <c r="E72" i="2"/>
  <c r="E85" s="1"/>
  <c r="F16" i="1" s="1"/>
  <c r="G37" s="1"/>
  <c r="E84" i="2"/>
  <c r="F13" i="1" s="1"/>
  <c r="F65" i="2"/>
  <c r="F69" s="1"/>
  <c r="G75" i="1"/>
  <c r="G73" s="1"/>
  <c r="G62"/>
  <c r="F33"/>
  <c r="F54" s="1"/>
  <c r="H154" i="2"/>
  <c r="E70"/>
  <c r="F66" s="1"/>
  <c r="F63"/>
  <c r="H43"/>
  <c r="H44" s="1"/>
  <c r="H57" s="1"/>
  <c r="G44"/>
  <c r="G177" l="1"/>
  <c r="F180"/>
  <c r="G22"/>
  <c r="G24"/>
  <c r="F26"/>
  <c r="H51"/>
  <c r="H58"/>
  <c r="G23"/>
  <c r="H21" s="1"/>
  <c r="G57"/>
  <c r="G25"/>
  <c r="F67"/>
  <c r="G63"/>
  <c r="E61" i="1"/>
  <c r="E72" s="1"/>
  <c r="E11" i="2"/>
  <c r="E30" s="1"/>
  <c r="F30" i="1" s="1"/>
  <c r="J217" i="24"/>
  <c r="J219"/>
  <c r="D15" i="2"/>
  <c r="C14"/>
  <c r="D10" s="1"/>
  <c r="D14" s="1"/>
  <c r="E10" s="1"/>
  <c r="E14" s="1"/>
  <c r="F10" s="1"/>
  <c r="C16"/>
  <c r="C29" s="1"/>
  <c r="D15" i="1" s="1"/>
  <c r="E31" s="1"/>
  <c r="E27" s="1"/>
  <c r="G65" i="2"/>
  <c r="G69" s="1"/>
  <c r="F84"/>
  <c r="G13" i="1" s="1"/>
  <c r="I64"/>
  <c r="H64"/>
  <c r="E9" i="2"/>
  <c r="E13" s="1"/>
  <c r="D28"/>
  <c r="D16"/>
  <c r="D29" s="1"/>
  <c r="E15" i="1" s="1"/>
  <c r="F31" s="1"/>
  <c r="F73"/>
  <c r="H155" i="2"/>
  <c r="H156" s="1"/>
  <c r="G156"/>
  <c r="I217" i="24"/>
  <c r="I219"/>
  <c r="C141" i="2"/>
  <c r="C142" s="1"/>
  <c r="C140"/>
  <c r="F70"/>
  <c r="G66" s="1"/>
  <c r="G180" l="1"/>
  <c r="H177"/>
  <c r="H180" s="1"/>
  <c r="G26"/>
  <c r="H22"/>
  <c r="H23" s="1"/>
  <c r="H24"/>
  <c r="H25"/>
  <c r="E15"/>
  <c r="F9"/>
  <c r="F13" s="1"/>
  <c r="E28"/>
  <c r="E16"/>
  <c r="E29" s="1"/>
  <c r="I75" i="1"/>
  <c r="I73" s="1"/>
  <c r="I62"/>
  <c r="H63" i="2"/>
  <c r="H67" s="1"/>
  <c r="H86" s="1"/>
  <c r="I36" i="1" s="1"/>
  <c r="G67" i="2"/>
  <c r="G86" s="1"/>
  <c r="H36" i="1" s="1"/>
  <c r="D138" i="2"/>
  <c r="E12" i="1"/>
  <c r="H75"/>
  <c r="H62"/>
  <c r="G84" i="2"/>
  <c r="H13" i="1" s="1"/>
  <c r="H65" i="2"/>
  <c r="H69" s="1"/>
  <c r="E43" i="1"/>
  <c r="E53"/>
  <c r="F86" i="2"/>
  <c r="G36" i="1" s="1"/>
  <c r="G33" s="1"/>
  <c r="G54" s="1"/>
  <c r="F71" i="2"/>
  <c r="G70"/>
  <c r="H66" s="1"/>
  <c r="H70" s="1"/>
  <c r="F27" i="1"/>
  <c r="F7" i="2"/>
  <c r="H26" l="1"/>
  <c r="F53" i="1"/>
  <c r="F43"/>
  <c r="H84" i="2"/>
  <c r="I13" i="1" s="1"/>
  <c r="H73"/>
  <c r="D73" s="1"/>
  <c r="D75"/>
  <c r="D141" i="2"/>
  <c r="D142" s="1"/>
  <c r="D173" s="1"/>
  <c r="D140"/>
  <c r="E138"/>
  <c r="F11"/>
  <c r="G7"/>
  <c r="F61" i="1"/>
  <c r="F72" s="1"/>
  <c r="G9" i="2"/>
  <c r="G13" s="1"/>
  <c r="F28"/>
  <c r="E60" i="1"/>
  <c r="E69" s="1"/>
  <c r="G71" i="2"/>
  <c r="F72"/>
  <c r="F85" s="1"/>
  <c r="G16" i="1" s="1"/>
  <c r="H37" s="1"/>
  <c r="H33" s="1"/>
  <c r="H54" s="1"/>
  <c r="G61" l="1"/>
  <c r="G72" s="1"/>
  <c r="H9" i="2"/>
  <c r="H13" s="1"/>
  <c r="G28"/>
  <c r="F30"/>
  <c r="F15"/>
  <c r="F14"/>
  <c r="G10" s="1"/>
  <c r="E141"/>
  <c r="E140"/>
  <c r="H71"/>
  <c r="H72" s="1"/>
  <c r="H85" s="1"/>
  <c r="I16" i="1" s="1"/>
  <c r="G72" i="2"/>
  <c r="G85" s="1"/>
  <c r="H16" i="1" s="1"/>
  <c r="I37" s="1"/>
  <c r="I33" s="1"/>
  <c r="I54" s="1"/>
  <c r="I61" s="1"/>
  <c r="I72" s="1"/>
  <c r="E70"/>
  <c r="E71"/>
  <c r="E76"/>
  <c r="F138" i="2"/>
  <c r="G11"/>
  <c r="G30" s="1"/>
  <c r="H7"/>
  <c r="H11" s="1"/>
  <c r="H30" s="1"/>
  <c r="F141" l="1"/>
  <c r="F142" s="1"/>
  <c r="F140"/>
  <c r="G138"/>
  <c r="E142"/>
  <c r="E159"/>
  <c r="G15"/>
  <c r="F16"/>
  <c r="F29" s="1"/>
  <c r="H28"/>
  <c r="G14"/>
  <c r="H10" s="1"/>
  <c r="H14" s="1"/>
  <c r="H61" i="1"/>
  <c r="H72" s="1"/>
  <c r="D72" s="1"/>
  <c r="I159" i="2" l="1"/>
  <c r="E163"/>
  <c r="F161" s="1"/>
  <c r="E164"/>
  <c r="G141"/>
  <c r="G142" s="1"/>
  <c r="G140"/>
  <c r="H138"/>
  <c r="H15"/>
  <c r="H16" s="1"/>
  <c r="H29" s="1"/>
  <c r="G16"/>
  <c r="G29" s="1"/>
  <c r="H141" l="1"/>
  <c r="H142" s="1"/>
  <c r="H140"/>
  <c r="E166"/>
  <c r="E169" s="1"/>
  <c r="F15" i="1" s="1"/>
  <c r="G31" s="1"/>
  <c r="F162" i="2"/>
  <c r="F163" s="1"/>
  <c r="G161" s="1"/>
  <c r="F164"/>
  <c r="E168"/>
  <c r="E181" l="1"/>
  <c r="E182" s="1"/>
  <c r="E118" s="1"/>
  <c r="F19" i="1" s="1"/>
  <c r="E173" i="2"/>
  <c r="F12" i="1"/>
  <c r="F165" i="2"/>
  <c r="F170"/>
  <c r="G30" i="1" s="1"/>
  <c r="G164" i="2"/>
  <c r="G162"/>
  <c r="G170" s="1"/>
  <c r="H30" i="1" s="1"/>
  <c r="F168" i="2"/>
  <c r="G163"/>
  <c r="H161" s="1"/>
  <c r="H164" l="1"/>
  <c r="G166"/>
  <c r="G169" s="1"/>
  <c r="H15" i="1" s="1"/>
  <c r="I31" s="1"/>
  <c r="H162" i="2"/>
  <c r="H170" s="1"/>
  <c r="I30" i="1" s="1"/>
  <c r="G168" i="2"/>
  <c r="F173"/>
  <c r="F181"/>
  <c r="F182" s="1"/>
  <c r="F118" s="1"/>
  <c r="G19" i="1" s="1"/>
  <c r="G12"/>
  <c r="G28"/>
  <c r="G27" s="1"/>
  <c r="G29"/>
  <c r="H163" i="2"/>
  <c r="G165"/>
  <c r="H165" s="1"/>
  <c r="F166"/>
  <c r="F169" s="1"/>
  <c r="G15" i="1" s="1"/>
  <c r="H31" s="1"/>
  <c r="G43" l="1"/>
  <c r="G53"/>
  <c r="H29"/>
  <c r="H28"/>
  <c r="H27" s="1"/>
  <c r="G181" i="2"/>
  <c r="G182" s="1"/>
  <c r="G118" s="1"/>
  <c r="H19" i="1" s="1"/>
  <c r="G173" i="2"/>
  <c r="H12" i="1"/>
  <c r="H166" i="2"/>
  <c r="H169" s="1"/>
  <c r="I15" i="1" s="1"/>
  <c r="H168" i="2"/>
  <c r="H43" i="1" l="1"/>
  <c r="H53"/>
  <c r="F60"/>
  <c r="F69" s="1"/>
  <c r="H181" i="2"/>
  <c r="H182" s="1"/>
  <c r="H118" s="1"/>
  <c r="I19" i="1" s="1"/>
  <c r="H173" i="2"/>
  <c r="I12" i="1"/>
  <c r="I28"/>
  <c r="I29"/>
  <c r="I27" l="1"/>
  <c r="I43"/>
  <c r="I53"/>
  <c r="I60" s="1"/>
  <c r="I69" s="1"/>
  <c r="F76"/>
  <c r="F71"/>
  <c r="F70"/>
  <c r="G60"/>
  <c r="G69" s="1"/>
  <c r="G70" l="1"/>
  <c r="G76"/>
  <c r="G71"/>
  <c r="I70"/>
  <c r="I76"/>
  <c r="I71"/>
  <c r="H60"/>
  <c r="H69" s="1"/>
  <c r="H71" l="1"/>
  <c r="D71" s="1"/>
  <c r="H70"/>
  <c r="D70" s="1"/>
  <c r="H76"/>
  <c r="D69"/>
  <c r="D76" s="1"/>
</calcChain>
</file>

<file path=xl/comments1.xml><?xml version="1.0" encoding="utf-8"?>
<comments xmlns="http://schemas.openxmlformats.org/spreadsheetml/2006/main">
  <authors>
    <author>Alejandro Parodi</author>
  </authors>
  <commentList>
    <comment ref="C127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VALORES PLAN SIN 2008 - 2022</t>
        </r>
      </text>
    </comment>
    <comment ref="A138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incluye valor de libros de Equipo de Comunicación</t>
        </r>
      </text>
    </comment>
    <comment ref="A139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no incluye Equipo de Comunicación</t>
        </r>
      </text>
    </comment>
  </commentList>
</comments>
</file>

<file path=xl/comments2.xml><?xml version="1.0" encoding="utf-8"?>
<comments xmlns="http://schemas.openxmlformats.org/spreadsheetml/2006/main">
  <authors>
    <author>Alejandro Parodi</author>
  </authors>
  <commentList>
    <comment ref="F143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195 km x 15.000 US$/km</t>
        </r>
      </text>
    </comment>
    <comment ref="F148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195 km x  2.500 US$/km</t>
        </r>
      </text>
    </comment>
    <comment ref="F182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Corresponde a 119 km de la LT Changuinola - Guasquitas - Frontera x 15.000 US$/km (capitaliza en 2009 cuando entra en operación SE)</t>
        </r>
      </text>
    </comment>
    <comment ref="F184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195 km x  2.500 US$/km</t>
        </r>
      </text>
    </comment>
    <comment ref="F194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Se le aplica a  L/T 230 KV Fortuna - Changuinola - Frontera, una vez que capitaliza en el anio 2009</t>
        </r>
      </text>
    </comment>
    <comment ref="F202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total asignado a SPT ya que adiciones a Conexión fueron marginales</t>
        </r>
      </text>
    </comment>
  </commentList>
</comments>
</file>

<file path=xl/comments3.xml><?xml version="1.0" encoding="utf-8"?>
<comments xmlns="http://schemas.openxmlformats.org/spreadsheetml/2006/main">
  <authors>
    <author>Alejandro Parodi</author>
  </authors>
  <commentList>
    <comment ref="B4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Auditados al 31/12/04 FINAL en junio/2005</t>
        </r>
      </text>
    </comment>
    <comment ref="B25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Estados Financieros Regulados
</t>
        </r>
      </text>
    </comment>
    <comment ref="B49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Estados Financieros Regulados
</t>
        </r>
      </text>
    </comment>
    <comment ref="B64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Estados Financieros Regulados
</t>
        </r>
      </text>
    </comment>
    <comment ref="B79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Estados Financieros Regulados
</t>
        </r>
      </text>
    </comment>
  </commentList>
</comments>
</file>

<file path=xl/comments4.xml><?xml version="1.0" encoding="utf-8"?>
<comments xmlns="http://schemas.openxmlformats.org/spreadsheetml/2006/main">
  <authors>
    <author>Alejandro Parodi</author>
  </authors>
  <commentList>
    <comment ref="H6" authorId="0">
      <text>
        <r>
          <rPr>
            <b/>
            <sz val="8"/>
            <color indexed="81"/>
            <rFont val="Tahoma"/>
          </rPr>
          <t>Si bien al 3112/08 estaba capitalizado, no se cnsideró ya que su entrada en operación depende de le entrada en opereción de la S/E 230 kV Changuinola (David)</t>
        </r>
      </text>
    </comment>
    <comment ref="H7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Se postergó su entreda en operación de diciembre de 2008 a abril 2009 (David)</t>
        </r>
      </text>
    </comment>
    <comment ref="F78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VALORES PLAN SIN 2008 - 2022</t>
        </r>
      </text>
    </comment>
  </commentList>
</comments>
</file>

<file path=xl/comments5.xml><?xml version="1.0" encoding="utf-8"?>
<comments xmlns="http://schemas.openxmlformats.org/spreadsheetml/2006/main">
  <authors>
    <author>Alejandro Parodi</author>
  </authors>
  <commentList>
    <comment ref="C23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 pasa todo a SPT (ASEP, 12/11)</t>
        </r>
      </text>
    </comment>
  </commentList>
</comments>
</file>

<file path=xl/comments6.xml><?xml version="1.0" encoding="utf-8"?>
<comments xmlns="http://schemas.openxmlformats.org/spreadsheetml/2006/main">
  <authors>
    <author>Alejandro Parodi</author>
  </authors>
  <commentList>
    <comment ref="I6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actualizar con info balance 2008</t>
        </r>
      </text>
    </comment>
    <comment ref="K12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Las Auditorías del CND pasan a ser a cargo de ASEP</t>
        </r>
      </text>
    </comment>
  </commentList>
</comments>
</file>

<file path=xl/comments7.xml><?xml version="1.0" encoding="utf-8"?>
<comments xmlns="http://schemas.openxmlformats.org/spreadsheetml/2006/main">
  <authors>
    <author>Alejandro Parodi</author>
  </authors>
  <commentList>
    <comment ref="E24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2,5% SOBRE VALOR DEL SCADA</t>
        </r>
      </text>
    </comment>
  </commentList>
</comments>
</file>

<file path=xl/comments8.xml><?xml version="1.0" encoding="utf-8"?>
<comments xmlns="http://schemas.openxmlformats.org/spreadsheetml/2006/main">
  <authors>
    <author>Alejandro Parodi</author>
  </authors>
  <commentList>
    <comment ref="D24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2,5% SOBRE VALOR DEL SCADA</t>
        </r>
      </text>
    </comment>
    <comment ref="F38" authorId="0">
      <text>
        <r>
          <rPr>
            <b/>
            <sz val="8"/>
            <color indexed="81"/>
            <rFont val="Tahoma"/>
          </rPr>
          <t>Alejandro Parodi:</t>
        </r>
        <r>
          <rPr>
            <sz val="8"/>
            <color indexed="81"/>
            <rFont val="Tahoma"/>
          </rPr>
          <t xml:space="preserve">
Dos licencias + impuestos + gastos de entrenamiento</t>
        </r>
      </text>
    </comment>
  </commentList>
</comments>
</file>

<file path=xl/sharedStrings.xml><?xml version="1.0" encoding="utf-8"?>
<sst xmlns="http://schemas.openxmlformats.org/spreadsheetml/2006/main" count="1812" uniqueCount="776">
  <si>
    <t>PARAMETROS</t>
  </si>
  <si>
    <t>UNIDAD</t>
  </si>
  <si>
    <t>%</t>
  </si>
  <si>
    <t>RRT</t>
  </si>
  <si>
    <t>B/.MILES</t>
  </si>
  <si>
    <t>ACTCT(Conexión)</t>
  </si>
  <si>
    <t>ACTNTC( Neto Conexión)</t>
  </si>
  <si>
    <t xml:space="preserve"> INGRESOS MÁXIMOS PERMITIDOS</t>
  </si>
  <si>
    <t>PRINCIPAL</t>
  </si>
  <si>
    <t>Administración</t>
  </si>
  <si>
    <t>Depreciación</t>
  </si>
  <si>
    <t>Rentabilidad sobre Activos</t>
  </si>
  <si>
    <t>SERVICIO DE OPERACIÓN INTEGRADA</t>
  </si>
  <si>
    <t>Hidrometeorología</t>
  </si>
  <si>
    <t>CONEXIÓN</t>
  </si>
  <si>
    <t>Operación y Mantenimiento</t>
  </si>
  <si>
    <t>TOTAL</t>
  </si>
  <si>
    <t>RESUMEN</t>
  </si>
  <si>
    <t>SISTEMA PRINCIPAL</t>
  </si>
  <si>
    <t xml:space="preserve">FACTOR DE ACTUALIZACIÓN </t>
  </si>
  <si>
    <t>VPN(2)</t>
  </si>
  <si>
    <r>
      <t xml:space="preserve">INGRESO ANUAL </t>
    </r>
    <r>
      <rPr>
        <b/>
        <sz val="8"/>
        <rFont val="Arial"/>
        <family val="2"/>
      </rPr>
      <t>(AÑO TARIFARIO)(1)</t>
    </r>
  </si>
  <si>
    <t>ACTSPT (Sistema Principal)</t>
  </si>
  <si>
    <t>Sistema Principal</t>
  </si>
  <si>
    <t>Unidades</t>
  </si>
  <si>
    <t>Miles Balboas</t>
  </si>
  <si>
    <t>Depreciación Acumulada</t>
  </si>
  <si>
    <t>Depreciación Anual</t>
  </si>
  <si>
    <t>Activos netos al comienzo del año</t>
  </si>
  <si>
    <t>Activos netos al final del año</t>
  </si>
  <si>
    <t>Inversiones</t>
  </si>
  <si>
    <t>Inversión anual</t>
  </si>
  <si>
    <t>Tasa de depreciación</t>
  </si>
  <si>
    <t>Activos brutos al final del año</t>
  </si>
  <si>
    <t>Activos existentes</t>
  </si>
  <si>
    <t>Activos netos al final del año (verificación)</t>
  </si>
  <si>
    <t>Conexión</t>
  </si>
  <si>
    <t>ACTNSPT(Neto Sistema Principal)</t>
  </si>
  <si>
    <t>ACTSPT</t>
  </si>
  <si>
    <t>ACTNSPT</t>
  </si>
  <si>
    <t>ACTCT</t>
  </si>
  <si>
    <t>ACTNCT</t>
  </si>
  <si>
    <t>ADMT</t>
  </si>
  <si>
    <t>OMT</t>
  </si>
  <si>
    <t>Centro Nacional de Despacho</t>
  </si>
  <si>
    <t>EMPRESA DE TRANSMISIÓN ELÉCTRICA S.A.</t>
  </si>
  <si>
    <t xml:space="preserve">PARÁMETROS Y VALORES UTILIZADOS EN EL CÁLCULO DE LOS INGRESOS MÁXIMOS  PERMITIDOS </t>
  </si>
  <si>
    <t>CÁLCULO DEL VPN DEL INGRESO PERMITIDO PARA EL PERIODO TARIFARIO</t>
  </si>
  <si>
    <t xml:space="preserve">Valor Presente IMP (2) </t>
  </si>
  <si>
    <t>EMPRESA DE TRANSMISION, S.A.</t>
  </si>
  <si>
    <t>BIENES E INSTALACIONES EN SERVICIO</t>
  </si>
  <si>
    <t>COSTO</t>
  </si>
  <si>
    <t>VALOR NETO</t>
  </si>
  <si>
    <t>CND</t>
  </si>
  <si>
    <t>HIDRO</t>
  </si>
  <si>
    <t>EDIFICIOS Y MEJORAS</t>
  </si>
  <si>
    <t>SUB-TOTAL</t>
  </si>
  <si>
    <t>VNR</t>
  </si>
  <si>
    <t>Conexiones</t>
  </si>
  <si>
    <t>ETESA</t>
  </si>
  <si>
    <t>ACTIVOS EFICIENTES</t>
  </si>
  <si>
    <t>230kV</t>
  </si>
  <si>
    <t>115kV</t>
  </si>
  <si>
    <t>Panamá - Chorrera</t>
  </si>
  <si>
    <t>Chorrera - Llano Sánchez</t>
  </si>
  <si>
    <t>Circuito Sencillo</t>
  </si>
  <si>
    <t>115 kV</t>
  </si>
  <si>
    <t>Mata de Nance - Progreso</t>
  </si>
  <si>
    <t>Mata de Nance - Caldera</t>
  </si>
  <si>
    <t>Caldera - La Estrella</t>
  </si>
  <si>
    <t>Caldera - Los Valles</t>
  </si>
  <si>
    <t>Progreso - Charco Azul</t>
  </si>
  <si>
    <t>ACTSPTef (Sistema Principal)</t>
  </si>
  <si>
    <t>ACTCTef (Conexión)</t>
  </si>
  <si>
    <r>
      <t>INGRESO ANUAL</t>
    </r>
    <r>
      <rPr>
        <b/>
        <sz val="8"/>
        <rFont val="Arial"/>
        <family val="2"/>
      </rPr>
      <t xml:space="preserve"> (Año Calendario</t>
    </r>
    <r>
      <rPr>
        <b/>
        <sz val="10"/>
        <rFont val="Arial"/>
        <family val="2"/>
      </rPr>
      <t>)</t>
    </r>
  </si>
  <si>
    <t>230 kV</t>
  </si>
  <si>
    <t>ACTIVOS RECONOCIDOS (al final del año)</t>
  </si>
  <si>
    <t>ACTIVOS EFICIENTES (al final del año)</t>
  </si>
  <si>
    <t>ACTIVOS INCORPORADOS PARCIALMENTE</t>
  </si>
  <si>
    <r>
      <t>(1)</t>
    </r>
    <r>
      <rPr>
        <sz val="9"/>
        <rFont val="Arial"/>
        <family val="2"/>
      </rPr>
      <t xml:space="preserve">  El Año Tarifario comprende del 1º de julio al 30 de junio del año siguiente</t>
    </r>
  </si>
  <si>
    <t>Alquiler</t>
  </si>
  <si>
    <t>ACTIVOS RECONOCIDOS</t>
  </si>
  <si>
    <t>Caldera - Paja de Sombrero</t>
  </si>
  <si>
    <t>PLANTA GENERAL</t>
  </si>
  <si>
    <t>Gastos</t>
  </si>
  <si>
    <t>Total</t>
  </si>
  <si>
    <t>2009-2010</t>
  </si>
  <si>
    <t>SPT</t>
  </si>
  <si>
    <t>Líneas</t>
  </si>
  <si>
    <t>SE</t>
  </si>
  <si>
    <t>Estaciones Hidrograficas</t>
  </si>
  <si>
    <t xml:space="preserve">EDIFICIOS Y MEJORAS                                  </t>
  </si>
  <si>
    <t xml:space="preserve">EQUIPO Y MOBILIARIO DE OFICINA                           </t>
  </si>
  <si>
    <t xml:space="preserve">EQUIPO DE TRANSPORTE                             </t>
  </si>
  <si>
    <t xml:space="preserve">EQUIPO DE TALLER                                       </t>
  </si>
  <si>
    <t xml:space="preserve">EQUIPO DE INFORMÁTICA                             </t>
  </si>
  <si>
    <t xml:space="preserve">EQUIPO DE LABORATORIO                           </t>
  </si>
  <si>
    <t xml:space="preserve">EQUIPO DE COMUNICACIÓN                         </t>
  </si>
  <si>
    <t xml:space="preserve"> </t>
  </si>
  <si>
    <t>Lineas</t>
  </si>
  <si>
    <t>N° del Circuito</t>
  </si>
  <si>
    <t>Longitud (km)</t>
  </si>
  <si>
    <t>N° Total de Torres</t>
  </si>
  <si>
    <t>Costo por kM</t>
  </si>
  <si>
    <t>Doble Circuito</t>
  </si>
  <si>
    <t>Lineas de 230 kV</t>
  </si>
  <si>
    <t>Bayano - Pacora - Panamá II</t>
  </si>
  <si>
    <t>230 - 1A, 1B</t>
  </si>
  <si>
    <t>Bayano - Panamá II</t>
  </si>
  <si>
    <t>230 - 2A</t>
  </si>
  <si>
    <t>Panamá II - Panamá</t>
  </si>
  <si>
    <t>230 - 1C Y 2B</t>
  </si>
  <si>
    <t>230 - 3A Y 4A</t>
  </si>
  <si>
    <t>230 - 3B Y 4B</t>
  </si>
  <si>
    <t>Llano Sánchez - Veladero</t>
  </si>
  <si>
    <t>230 - 5A Y 6A</t>
  </si>
  <si>
    <t>Veladero - Mata de Nance</t>
  </si>
  <si>
    <t>230 - 5B Y 6B</t>
  </si>
  <si>
    <t>Mata de Nance - Fortuna</t>
  </si>
  <si>
    <t>230 - 7 Y 8</t>
  </si>
  <si>
    <t>Veladero - Llano Sánchez</t>
  </si>
  <si>
    <t>230 - 14 Y 15</t>
  </si>
  <si>
    <t>Veladero - Guasquitas</t>
  </si>
  <si>
    <t>230 - 16 Y 17</t>
  </si>
  <si>
    <t>Lineas de 115 kV</t>
  </si>
  <si>
    <t>Bahía Las Minas No.1 - Santa Rita</t>
  </si>
  <si>
    <t>115 - 1BY 2B</t>
  </si>
  <si>
    <t>115 - 1A Y 2A</t>
  </si>
  <si>
    <t>115 - 4A, 4B</t>
  </si>
  <si>
    <t>115 - 3</t>
  </si>
  <si>
    <t>115 - 15 Y 16</t>
  </si>
  <si>
    <t>230 - 9</t>
  </si>
  <si>
    <t>Progreso  - Frontera</t>
  </si>
  <si>
    <t>230 - 10</t>
  </si>
  <si>
    <t>Guasquitas - Fortuna</t>
  </si>
  <si>
    <t>230 - 18</t>
  </si>
  <si>
    <t>115 - 12</t>
  </si>
  <si>
    <t>Total - Sistema Principal</t>
  </si>
  <si>
    <t>115 - 17</t>
  </si>
  <si>
    <t>115 - 18</t>
  </si>
  <si>
    <t>115 - 19</t>
  </si>
  <si>
    <t>115 - 25</t>
  </si>
  <si>
    <t>Total - Conexión</t>
  </si>
  <si>
    <t>VNR - Subestaciones - Por Sistema Principal y Por Conexión</t>
  </si>
  <si>
    <t>Sistema de Conexión</t>
  </si>
  <si>
    <t>Patio 230KV-Panamá II</t>
  </si>
  <si>
    <t>Patio 115Kv-Panamá II</t>
  </si>
  <si>
    <t>Patio 230KV-Panamá</t>
  </si>
  <si>
    <t>Patio 115Kv-Llano Sánchez</t>
  </si>
  <si>
    <t>Patio 230KV-Chorrera</t>
  </si>
  <si>
    <t>Patio 115Kv-Progreso</t>
  </si>
  <si>
    <t>Patio 115Kv-Charco Azul</t>
  </si>
  <si>
    <t>Patio 230KV-Veladero</t>
  </si>
  <si>
    <t>Patio 34.5 kV-Chorrera</t>
  </si>
  <si>
    <t>Patio 230KV-Mata de Nance</t>
  </si>
  <si>
    <t>Patio 34.5 kV-Llano Sánchez</t>
  </si>
  <si>
    <t>Patio 230KV-Progreso</t>
  </si>
  <si>
    <t>Patio 34.5 kV-Mata de Nance</t>
  </si>
  <si>
    <t>Patio 34.5 kV-Progreso</t>
  </si>
  <si>
    <t>Patio 115Kv-Mata de Nance</t>
  </si>
  <si>
    <t>Patio 115Kv-Santa Rita</t>
  </si>
  <si>
    <t>Patio 115Kv-Cáceres</t>
  </si>
  <si>
    <t>Subtotal</t>
  </si>
  <si>
    <t>Patio 230KV-Guasquitas</t>
  </si>
  <si>
    <t>Patio 115Kv-Caldera</t>
  </si>
  <si>
    <t>Patio 230KV-Changuinola</t>
  </si>
  <si>
    <t>ACTIVO FIJO</t>
  </si>
  <si>
    <t>DEPRECIACION</t>
  </si>
  <si>
    <t>SUB TOTAL</t>
  </si>
  <si>
    <t>PLANTA GENERAL NO PRODUCTIVO</t>
  </si>
  <si>
    <t>TOTAL COSTO HISTORICO</t>
  </si>
  <si>
    <t>SUBESTACIONES</t>
  </si>
  <si>
    <t>115 KV</t>
  </si>
  <si>
    <t>PANAMA II</t>
  </si>
  <si>
    <t>CHARCO AZUL</t>
  </si>
  <si>
    <t>PROGRESO</t>
  </si>
  <si>
    <t>34.5 KV</t>
  </si>
  <si>
    <t>MATA DE NANCE</t>
  </si>
  <si>
    <t>CHORRERA</t>
  </si>
  <si>
    <t>LLANO SANCHEZ</t>
  </si>
  <si>
    <t>LINEAS</t>
  </si>
  <si>
    <t>230 KV</t>
  </si>
  <si>
    <t>TOTAL CONEXIONES</t>
  </si>
  <si>
    <t>MATA DE NANCE CALDERA</t>
  </si>
  <si>
    <t>PANAMA CACERES</t>
  </si>
  <si>
    <t>PANAMA</t>
  </si>
  <si>
    <t xml:space="preserve">PROGRESO </t>
  </si>
  <si>
    <t xml:space="preserve">CHORRERA </t>
  </si>
  <si>
    <t>GUASQUITA</t>
  </si>
  <si>
    <t>VELADERO</t>
  </si>
  <si>
    <t>115KV</t>
  </si>
  <si>
    <t xml:space="preserve">CALDERA </t>
  </si>
  <si>
    <t>CACERES</t>
  </si>
  <si>
    <t>TOTAL SISTEMA PRINCIPAL</t>
  </si>
  <si>
    <t>HIDROMETEOROLOGIA:</t>
  </si>
  <si>
    <t>PLANTA GENERAL -  NO PRODUCTIVOS</t>
  </si>
  <si>
    <t>EMPRESA DE TRANSMISIÓN ELECTRICA S. A.</t>
  </si>
  <si>
    <t>GERENCIA DE HIDROMETEOROLOGÍA</t>
  </si>
  <si>
    <t>CONCEPTO</t>
  </si>
  <si>
    <t>Año 2005</t>
  </si>
  <si>
    <t>Año 2006</t>
  </si>
  <si>
    <t>Año 2007</t>
  </si>
  <si>
    <t>Año 2008</t>
  </si>
  <si>
    <t>Año 2009</t>
  </si>
  <si>
    <t>INVERSIONES</t>
  </si>
  <si>
    <t>GASTOS DE FUNCIONAMIENTO</t>
  </si>
  <si>
    <t>Proyección de Personal 2005-2009</t>
  </si>
  <si>
    <t>Personal existente</t>
  </si>
  <si>
    <t>Personal nuevo</t>
  </si>
  <si>
    <t>PERSONAL mínimo requerido</t>
  </si>
  <si>
    <t>Retiros</t>
  </si>
  <si>
    <t>Ajuste de Eficiencia</t>
  </si>
  <si>
    <t>Ajuste por Diseño</t>
  </si>
  <si>
    <t>Ajuste por Ingeniería</t>
  </si>
  <si>
    <t>Ajuste por Administración</t>
  </si>
  <si>
    <t>Ajuste por Inspección</t>
  </si>
  <si>
    <t>Costos indirectos</t>
  </si>
  <si>
    <t>Costos indirectos ajustados</t>
  </si>
  <si>
    <t>Valor ajustado</t>
  </si>
  <si>
    <t>VNR - Líneas de Transmisión</t>
  </si>
  <si>
    <t>Tasa de depreciación activos</t>
  </si>
  <si>
    <t>Tasa de depreciación retiros</t>
  </si>
  <si>
    <t>Activos brutos al comienzo del año</t>
  </si>
  <si>
    <t>SANTA RITA</t>
  </si>
  <si>
    <t>Parámetros del Régimen</t>
  </si>
  <si>
    <t>ACTH (Hidrometeorología)</t>
  </si>
  <si>
    <t>ACTNH (Neto Hidromet.)</t>
  </si>
  <si>
    <t>Valores Ajustados</t>
  </si>
  <si>
    <t>Disminución con respecto al valor de libros</t>
  </si>
  <si>
    <t>Costo por km</t>
  </si>
  <si>
    <t>BLM1 - SANTA RITA</t>
  </si>
  <si>
    <t>SANTA RITA - CACERES</t>
  </si>
  <si>
    <t>BLM2 - PANAMA</t>
  </si>
  <si>
    <t>CPSA - PANAMA</t>
  </si>
  <si>
    <t>BLM2 - CPSA</t>
  </si>
  <si>
    <t>CALDERA - LA ESTRELLA</t>
  </si>
  <si>
    <t>CALDERA - LOS VALLES</t>
  </si>
  <si>
    <t>CALDERA - PAJA DE SOMBRERO</t>
  </si>
  <si>
    <t>PROGRESO - CHARCO AZUL</t>
  </si>
  <si>
    <t>BAYANO - PACORA</t>
  </si>
  <si>
    <t>BAYANO - PANAMA II</t>
  </si>
  <si>
    <t>PACORA - PANAMA II</t>
  </si>
  <si>
    <t>PANAMAII - PANAMA</t>
  </si>
  <si>
    <t>PANAMA - CHORRERA</t>
  </si>
  <si>
    <t>CHORRERA - LLANO SANCHEZ</t>
  </si>
  <si>
    <t>LLANO SANCHEZ - VELADERO</t>
  </si>
  <si>
    <t>VELADERO - MATA DE NANCE</t>
  </si>
  <si>
    <t>MATA DE NANCE - PROGRESO</t>
  </si>
  <si>
    <t>PROGRESO - FRONTERA</t>
  </si>
  <si>
    <t>VELADERO - GUASQUITAS</t>
  </si>
  <si>
    <t>FORTUNA - MATA DE NANCE</t>
  </si>
  <si>
    <t xml:space="preserve">Estaciones Meteorológicas Tipo A,B,C                    </t>
  </si>
  <si>
    <t xml:space="preserve">Equipo de Informáticas               </t>
  </si>
  <si>
    <t>Equipo Eléctrico Miscelaneos</t>
  </si>
  <si>
    <t xml:space="preserve">Equipo de Hidrometeorología                        </t>
  </si>
  <si>
    <t>Equipo Transporte</t>
  </si>
  <si>
    <t>Equipo y Mobiliario de Oficina</t>
  </si>
  <si>
    <t>Equipo de Comunicación</t>
  </si>
  <si>
    <t xml:space="preserve">EQUIPO ELECTRICO AUXILIAR Y MISCELANEO                 </t>
  </si>
  <si>
    <t>OTROS SISTEMA PRINCIPAL</t>
  </si>
  <si>
    <t xml:space="preserve">TERRENOS                       </t>
  </si>
  <si>
    <t xml:space="preserve">EQUIPO DE MISCELÁNEOS                           </t>
  </si>
  <si>
    <t>HERRAMIENTA ESPECIALIZADA</t>
  </si>
  <si>
    <t>Otros gastos</t>
  </si>
  <si>
    <t>Gastos CND</t>
  </si>
  <si>
    <t>Auditoría</t>
  </si>
  <si>
    <t>Dotación de Personal</t>
  </si>
  <si>
    <t>PRESUPUESTO DE FUNCIONAMIENTO E INVERSIÓN 2005-2009. Valores en Balboas de diciembre de 2004.</t>
  </si>
  <si>
    <t>Costo anual de personal</t>
  </si>
  <si>
    <t>Salario mensual medio</t>
  </si>
  <si>
    <t>Total personal</t>
  </si>
  <si>
    <t>Rubro de gastos</t>
  </si>
  <si>
    <t>Monto</t>
  </si>
  <si>
    <t>AL 31 DE DICIEMBRE DE 2007</t>
  </si>
  <si>
    <t>Activo fijo</t>
  </si>
  <si>
    <t>Costo</t>
  </si>
  <si>
    <t>Depreciación acumulada</t>
  </si>
  <si>
    <t>Valor neto</t>
  </si>
  <si>
    <t>Estaciones Pluviométricas</t>
  </si>
  <si>
    <t>Estaciones Fluviográficas</t>
  </si>
  <si>
    <t>Equipo Informática</t>
  </si>
  <si>
    <t>Equipo de Transporte</t>
  </si>
  <si>
    <t>Mobiliario y Otros Equipos</t>
  </si>
  <si>
    <t>Total activo fijo</t>
  </si>
  <si>
    <t>Equipo de Laboratorio</t>
  </si>
  <si>
    <t xml:space="preserve">Empresa de Transmisión S.A. - Hidrometeorología </t>
  </si>
  <si>
    <t>Estaciones Meteorológicas Tipo A</t>
  </si>
  <si>
    <t>Estaciones Meteorológicas Tipo B</t>
  </si>
  <si>
    <t>Estaciones Meteorológicas Tipo C</t>
  </si>
  <si>
    <t>Año 2010</t>
  </si>
  <si>
    <t>Año 2011</t>
  </si>
  <si>
    <t>Año 2012</t>
  </si>
  <si>
    <t>Año 2013</t>
  </si>
  <si>
    <t>Proyección de Personal 2009-2013</t>
  </si>
  <si>
    <t>PROYECTO</t>
  </si>
  <si>
    <t>Alerta Temprana</t>
  </si>
  <si>
    <t>Automatización de la red</t>
  </si>
  <si>
    <t>Automatización de Procesos</t>
  </si>
  <si>
    <t>Descargas atmosféricas</t>
  </si>
  <si>
    <t>Remodelación sinóptica</t>
  </si>
  <si>
    <t>2010-2011</t>
  </si>
  <si>
    <t>2011-2012</t>
  </si>
  <si>
    <t>2012-2013</t>
  </si>
  <si>
    <t>2013-2014</t>
  </si>
  <si>
    <t>(2)  Referido al 1º de julio de 2009</t>
  </si>
  <si>
    <t>Valores en miles de Balboas de Noviembre de 2008</t>
  </si>
  <si>
    <t>Centro Nacional de Despacho (sin inversiones)</t>
  </si>
  <si>
    <t>Incrementos</t>
  </si>
  <si>
    <t>INVERSIONES (NO SE DISPONE DE LA INFORMACIÓN ANIO POR ANIO)</t>
  </si>
  <si>
    <t>Valores en miles de Balboas de Diciembre 2004</t>
  </si>
  <si>
    <t>AL 31 DE DICIEMBRE DE 2004</t>
  </si>
  <si>
    <t>PLANTA GENERAL NO PRODUCTIVO (incluye Terrenos de Gerencial Apoyo)</t>
  </si>
  <si>
    <t>AL 31 DE DICIEMBRE DE 2005</t>
  </si>
  <si>
    <t>COSTO UNICIAL</t>
  </si>
  <si>
    <t>ADICIONES</t>
  </si>
  <si>
    <t>RETIROS</t>
  </si>
  <si>
    <t>COSTO FINAL</t>
  </si>
  <si>
    <t>PROPIEDADES Y PLANTA</t>
  </si>
  <si>
    <t>AL 31 DE DICIEMBRE DE 2006</t>
  </si>
  <si>
    <t>Estimación preliminar 2007</t>
  </si>
  <si>
    <t>Ajuste Art. 177</t>
  </si>
  <si>
    <t>Valor sin ajuste</t>
  </si>
  <si>
    <t>Factor de ajuste ex - post</t>
  </si>
  <si>
    <t>ANE</t>
  </si>
  <si>
    <t>ANE/AE</t>
  </si>
  <si>
    <t>Llano Sánchez - Panamá II</t>
  </si>
  <si>
    <t>Panamá - Cemento Panamá - Bahía Las Minas No.2 (2)</t>
  </si>
  <si>
    <t>Panamá - Bahía Las Minas No.2  (2)</t>
  </si>
  <si>
    <t>Patio 115 kV-Changuinola</t>
  </si>
  <si>
    <t>Patio 230kV-Fortuna Nave 3</t>
  </si>
  <si>
    <t>VNR 2008</t>
  </si>
  <si>
    <t>HIDROMETEOROLOGÍA</t>
  </si>
  <si>
    <r>
      <t xml:space="preserve">Centro Nacional de Despacho </t>
    </r>
    <r>
      <rPr>
        <b/>
        <sz val="7.5"/>
        <rFont val="Arial"/>
        <family val="2"/>
      </rPr>
      <t>(sin inversiones)</t>
    </r>
  </si>
  <si>
    <r>
      <t xml:space="preserve">Centro Nacional de Despacho </t>
    </r>
    <r>
      <rPr>
        <b/>
        <sz val="7.5"/>
        <rFont val="Arial"/>
        <family val="2"/>
      </rPr>
      <t>(con inversiones)</t>
    </r>
  </si>
  <si>
    <t>Var.</t>
  </si>
  <si>
    <t>VNR SUB ESTACIONES</t>
  </si>
  <si>
    <t>VNR LÍNEAS</t>
  </si>
  <si>
    <t>GASTOS DE FUNCIONAMIENTO 2009-13</t>
  </si>
  <si>
    <t>GASTOS DE FUNCIONAMIENTO 2005-09</t>
  </si>
  <si>
    <t>Adiciones</t>
  </si>
  <si>
    <t>Inv. Previstas</t>
  </si>
  <si>
    <t xml:space="preserve">Retiros </t>
  </si>
  <si>
    <t>AL 31 DE DICIEMBRE DE 2008</t>
  </si>
  <si>
    <t>EMPRESA DE TRANSMISIÓN, S.A.</t>
  </si>
  <si>
    <t>(Balboas)</t>
  </si>
  <si>
    <t>DEPRECIACIÓN</t>
  </si>
  <si>
    <t>TRANSMISIÓN</t>
  </si>
  <si>
    <t>LÍNEAS</t>
  </si>
  <si>
    <t xml:space="preserve">PLANTA GENERAL </t>
  </si>
  <si>
    <t xml:space="preserve">TOTAL </t>
  </si>
  <si>
    <t>SUBESTACIONES Y LÍNEAS, SEGÚN CONEXIÓN Y SISTEMA PRINCIPAL, POR NIVEL DE VOLTAJE</t>
  </si>
  <si>
    <t>PATIO 115 KV-CHARCO AZUL</t>
  </si>
  <si>
    <t>PATIO 115 KV-LLANO SANCHEZ</t>
  </si>
  <si>
    <t>PATIO 115 KV-PROGRESO</t>
  </si>
  <si>
    <t>PATIO 34.5 KV-CHORRERA</t>
  </si>
  <si>
    <t>PATIO 34.5 KV-LLANO SANCHEZ</t>
  </si>
  <si>
    <t>PATIO 34.5 KV-MATA DE NANCE</t>
  </si>
  <si>
    <t>PATIO 34.5 KV-PROGRESO</t>
  </si>
  <si>
    <t>L/T 115 KV-CALDERA-ESTRELLA-17</t>
  </si>
  <si>
    <t>L/T 115 KV-CALDERA-LOS VALLES-18</t>
  </si>
  <si>
    <t>L/T 115 KV-CALDERA-PAJA DE SOMBRERO-19</t>
  </si>
  <si>
    <t>L/T 115 KV-PROGRESO-CHARCO AZUL-25</t>
  </si>
  <si>
    <t>Líneas 230KV-Bayano-Pacora (230-1A)</t>
  </si>
  <si>
    <t>Líneas 230KV-Chorrera-Llano Sánchez (230-3B, 230-4B)</t>
  </si>
  <si>
    <t>Líneas 230KV-Llano Sánchez-Veladero (230-14, 230-15)</t>
  </si>
  <si>
    <t>Líneas 230KV-Llano Sánchez-Veladero (230-5A, 230-6A)</t>
  </si>
  <si>
    <t>Líneas 230KV-Mata de Nance-Progreso (230-9)</t>
  </si>
  <si>
    <t>Líneas 230KV-Panamá II-Llano Sánchez (230-12, 230-13)</t>
  </si>
  <si>
    <t>Líneas 230KV-Panamá II-Panamá (230-1C, 230-2B)</t>
  </si>
  <si>
    <t>Líneas 230KV-Panamá-Chorrera (230-3A, 230-4A)</t>
  </si>
  <si>
    <t>Líneas 230KV-Pacora-Panamá II (230-1B)</t>
  </si>
  <si>
    <t>L/T 230 KV-PROGRESO-FRONTERA (COSTA RICA) (230-10)</t>
  </si>
  <si>
    <t>Líneas 230KV-Veladero-Guasquitas (230-16, 230-17)</t>
  </si>
  <si>
    <t>L/T 230 KV-GUASQUITAS-FORTUNA-18</t>
  </si>
  <si>
    <t>L/T 230 KV FORTUNA - CHANGUINOLA - FRONTERA</t>
  </si>
  <si>
    <t>Líneas 230KV-Mata de Nance-Fortuna (230-7, 230-8)</t>
  </si>
  <si>
    <t>Línea 115Kv-CPSA-BLM2 (115-4B)</t>
  </si>
  <si>
    <t>Líneas 115Kv-BLM1-Santa Rita (115-1B, 115-2B)</t>
  </si>
  <si>
    <t>Línea 115KV-Panamá CPSA (115-4A)</t>
  </si>
  <si>
    <t>Líneas 115Kv-Mata de Nance-Caldera (115-15, 115-16)</t>
  </si>
  <si>
    <t>Líneas 115Kv-Panamá-Cáceres (115-12)</t>
  </si>
  <si>
    <t>PATIO 230 KV-CHORRERA</t>
  </si>
  <si>
    <t>PATIO 230 KV-GUASQUITAS</t>
  </si>
  <si>
    <t>PATIO 230 KV-LLANO SANCHEZ</t>
  </si>
  <si>
    <t>PATIO 230 KV-MATA DE NANCE</t>
  </si>
  <si>
    <t>PATIO 230 KV-PANAMA</t>
  </si>
  <si>
    <t>PATIO 230 KV-PANAMA II</t>
  </si>
  <si>
    <t>PATIO 230 KV-PROGRESO</t>
  </si>
  <si>
    <t>PATIO 230 KV-VELADERO</t>
  </si>
  <si>
    <t>PATIO 230 KV-NAVE 3 FORTUNA</t>
  </si>
  <si>
    <t>PATIO 115 KV-CACERES</t>
  </si>
  <si>
    <t>PATIO 115 KV-PANAMA II</t>
  </si>
  <si>
    <t>PATIO 115 KV-CALDERA</t>
  </si>
  <si>
    <t>PATIO 115 KV-PANAMA</t>
  </si>
  <si>
    <t>PATIO 115 KV-SANTA RITA</t>
  </si>
  <si>
    <t>EQUIPO DE COMUNICACION</t>
  </si>
  <si>
    <t>EQUIPO DE INFORMATICA</t>
  </si>
  <si>
    <t>EQUIPO DE LABORATORIO</t>
  </si>
  <si>
    <t>EQUIPO DE TRANSPORTE</t>
  </si>
  <si>
    <t>EQUIPO ELECTRICO MISCELANEO</t>
  </si>
  <si>
    <t>EQUIPO MECANICO</t>
  </si>
  <si>
    <t>EQUIPO Y MOBILIARIO DE OFICINA</t>
  </si>
  <si>
    <t>TERRENOS</t>
  </si>
  <si>
    <t>HIDROMETEOROLOGIA</t>
  </si>
  <si>
    <t>EQUIPO DE HIDROMETEOROLOGIA</t>
  </si>
  <si>
    <t>ESTACIONES HIDROLOGICAS</t>
  </si>
  <si>
    <t>ESTACIONES METEOROLOGICAS TIPO A, B, C</t>
  </si>
  <si>
    <t>EQUIPO ELECTRICO AUXILIAR</t>
  </si>
  <si>
    <t>Fuente: Gerencia de Contabilidad/ETESA</t>
  </si>
  <si>
    <t>Patio 230KV-Llano Sánchez</t>
  </si>
  <si>
    <t>Verif.</t>
  </si>
  <si>
    <t>Otros</t>
  </si>
  <si>
    <t>Determinación de tasa de depreciación media por tipo de activo</t>
  </si>
  <si>
    <t>Activo</t>
  </si>
  <si>
    <t>Sistema Principal de Transmisión</t>
  </si>
  <si>
    <t>Costo bruto al 31/12/07</t>
  </si>
  <si>
    <t>Tasa de depreciación media</t>
  </si>
  <si>
    <t>(1) Estados Financieros Regulados 2007: ER-04.</t>
  </si>
  <si>
    <t>Costo bruto al 31/12/06</t>
  </si>
  <si>
    <t>Depreciación y amortizaciones periodo 1/1/07 - 31/12/07 (1)</t>
  </si>
  <si>
    <t>(1) Estados Financieros Regulados 2006: ER-04.</t>
  </si>
  <si>
    <t>Costo bruto al 31/12/05</t>
  </si>
  <si>
    <t>Depreciación y amortizaciones periodo 1/1/06 - 31/12/06 (1)</t>
  </si>
  <si>
    <t>Costo bruto al 31/12/04</t>
  </si>
  <si>
    <t>Depreciación y amortizaciones periodo 1/1/05 - 31/12/05 (1)</t>
  </si>
  <si>
    <t>(1) Estados Financieros Regulados 2005: ER-04.</t>
  </si>
  <si>
    <t>Promedio ponderado</t>
  </si>
  <si>
    <t>Promedio 2005 - 2007</t>
  </si>
  <si>
    <t>A) Periodo 2001 - 2004</t>
  </si>
  <si>
    <t>B) Periodo 2005 - 2008</t>
  </si>
  <si>
    <t>B.1) Periodo 2005 - 2007</t>
  </si>
  <si>
    <t>EMPRESA DE TRANSMISION ELECTRICA S.A.</t>
  </si>
  <si>
    <t>BIENES E INSTALACIONES CAPITALIZADOS EN EL - 2005-2006-2007</t>
  </si>
  <si>
    <t>(En Balboas)</t>
  </si>
  <si>
    <t>DETALLE</t>
  </si>
  <si>
    <t>COSTOS DIRECTOS DE CONSTRUCCIÓN</t>
  </si>
  <si>
    <t>SUMINISTRO</t>
  </si>
  <si>
    <t>OBRAS CIVILES</t>
  </si>
  <si>
    <t>MONTAJE</t>
  </si>
  <si>
    <t>COSTO INDIRECTO DE CONSTRUCCIÓN</t>
  </si>
  <si>
    <t>DISEÑO</t>
  </si>
  <si>
    <t>INDEMNIZACIONES</t>
  </si>
  <si>
    <t>SERVIDUMBRE</t>
  </si>
  <si>
    <t>EIA (ESTUDIO DE IMPACTO AMBIENTAL)</t>
  </si>
  <si>
    <t>GASTO ADMINISTRATIVO DE ETESA</t>
  </si>
  <si>
    <t xml:space="preserve">INGENIERÍA Y SUPERVISIÓN </t>
  </si>
  <si>
    <t>INSPECCIÓN</t>
  </si>
  <si>
    <t>GASTO FINANCIERO</t>
  </si>
  <si>
    <t>GASTOS LEGALES</t>
  </si>
  <si>
    <t>GRAN TOTAL</t>
  </si>
  <si>
    <t>Fuente: Planeamiento Energético</t>
  </si>
  <si>
    <t>EP - Planeamiento</t>
  </si>
  <si>
    <t>COSTO BASE DEL EQUIPAMIENTO</t>
  </si>
  <si>
    <t>% DEL COSTO DEL EQUIPAMIENTO</t>
  </si>
  <si>
    <t>ART. 177</t>
  </si>
  <si>
    <t>REAL</t>
  </si>
  <si>
    <t>Capitalizaciones (adiciones) 2005 - 2008</t>
  </si>
  <si>
    <t>C) Resumen de ajustes</t>
  </si>
  <si>
    <t>2005-2007</t>
  </si>
  <si>
    <t>Ajuste 2005 - 2008</t>
  </si>
  <si>
    <t>Ajuste 2001 - 2004</t>
  </si>
  <si>
    <t>Factor ajuste depreciación SPT</t>
  </si>
  <si>
    <t>Activos Eléctricos (AE)</t>
  </si>
  <si>
    <t>Tope Activos No Eléctricos (ANE)</t>
  </si>
  <si>
    <t>Relación Dep. Acum. / Costo</t>
  </si>
  <si>
    <t>MONTO US$</t>
  </si>
  <si>
    <t>MONTO AJUSTADO US$</t>
  </si>
  <si>
    <t>PORCENTAJE</t>
  </si>
  <si>
    <t xml:space="preserve">AÑO </t>
  </si>
  <si>
    <t>PERSONAL</t>
  </si>
  <si>
    <t>Por empleado</t>
  </si>
  <si>
    <t>EJECUTADO</t>
  </si>
  <si>
    <t>2008 (e)</t>
  </si>
  <si>
    <t>2009 (e)</t>
  </si>
  <si>
    <t>total</t>
  </si>
  <si>
    <t>Promedio anual</t>
  </si>
  <si>
    <t>Reducción</t>
  </si>
  <si>
    <t>Computadoras y licencias</t>
  </si>
  <si>
    <t>Impresors y tintas</t>
  </si>
  <si>
    <t>Reingenieria Base datos y web</t>
  </si>
  <si>
    <t>Formación de personal</t>
  </si>
  <si>
    <t>Consultores</t>
  </si>
  <si>
    <t>Imprevistos</t>
  </si>
  <si>
    <t>Sensores descargas eléctricas</t>
  </si>
  <si>
    <t>Gastos varios O y M</t>
  </si>
  <si>
    <t xml:space="preserve"> sub-total</t>
  </si>
  <si>
    <t>PRESUPUESTO DE INVERSIONES SOLICITADO</t>
  </si>
  <si>
    <t>EMPRESA DE TRANSMISIÓN ELECTRICA.S.A.</t>
  </si>
  <si>
    <t>PRESUPUESTO DE INVERSIÓN 2009 - 2013</t>
  </si>
  <si>
    <t>Estaciones Sinópticas Automáticas</t>
  </si>
  <si>
    <t xml:space="preserve">Estaciones Meteorológicas Automáticas Tipo A </t>
  </si>
  <si>
    <t>Estaciones Meteorológicas Automáticas Tipo PD (1)</t>
  </si>
  <si>
    <t>Estaciones Hidrológicas Automáticas</t>
  </si>
  <si>
    <t>Equipos convencional para calibración de estaciones automáticas</t>
  </si>
  <si>
    <t>Estación Receptora de Imágenes Satelitales Meteorológicas.</t>
  </si>
  <si>
    <t xml:space="preserve">Receptor y Antena Vsat del sistema Metlab </t>
  </si>
  <si>
    <t>Repuesto de equipos de comunicaciones</t>
  </si>
  <si>
    <t>Repuestos estación receptora de datos satelitales</t>
  </si>
  <si>
    <t>Instalación de la estación receptora de datos satelitales de David</t>
  </si>
  <si>
    <t>Repuestos estaciones automáticas</t>
  </si>
  <si>
    <t>Repuestos estaciones convencionales</t>
  </si>
  <si>
    <t>Sensores de calidad del agua</t>
  </si>
  <si>
    <t>Computadoras y licencias de software</t>
  </si>
  <si>
    <t>Impresoras láser e inyección de tinta/escáner largo</t>
  </si>
  <si>
    <t>Equipos para predicción numérica hidrológica y actualizaciones</t>
  </si>
  <si>
    <t>Equipos para predicción numérica meteorológica sinóptico y actualizaciones</t>
  </si>
  <si>
    <t>Reingeniería de la Base de Datos y página Web</t>
  </si>
  <si>
    <t>Software para pronóstico climatológicos</t>
  </si>
  <si>
    <t>Formación de personal y asistencia técnica</t>
  </si>
  <si>
    <t>Vehículos doble tracción con malacate</t>
  </si>
  <si>
    <t>Vehículos tipo sedan/jeep corto</t>
  </si>
  <si>
    <t>Equipos de hidromensura, trasp. marítimo y construcción</t>
  </si>
  <si>
    <t>Equipos de calibración y reparación de instrumentos y sensores</t>
  </si>
  <si>
    <t>Habilitación de locales para oficinas, talleres y depósitos</t>
  </si>
  <si>
    <t>imprevistos</t>
  </si>
  <si>
    <t>Sensores de descargas eléctricas atmosféricas</t>
  </si>
  <si>
    <t>Inversiones equipos, herramientas y otros</t>
  </si>
  <si>
    <t>Gastos varios de operación y mantenimiento</t>
  </si>
  <si>
    <t>PRESUPUESTO DE INVERSIONES AJUSTADO</t>
  </si>
  <si>
    <t>PRESUPUESTO DE INVERSIÓN AJUSTADO 2009 - 2013</t>
  </si>
  <si>
    <t>Sub-total</t>
  </si>
  <si>
    <t>Menos: GASTOS DE FUNCIONAMIENTO GARGADOS A INVERSIONES</t>
  </si>
  <si>
    <t>NUEVO TOTAL</t>
  </si>
  <si>
    <t>II) INVERSIONES</t>
  </si>
  <si>
    <t xml:space="preserve">I) GASTOS DE FUNCIONAMIENTO </t>
  </si>
  <si>
    <t>HIDROMET - PRESUPUESTO DE GASTOS DE FUNCIONAMIENTO E INVERSIONES</t>
  </si>
  <si>
    <t>Valor estimado libros</t>
  </si>
  <si>
    <t>OBRAS PLAN DE EXPANSIÓN INDICATIVO DE GENERACIÓN (PROYECTOS ESTRATÉGICOS)</t>
  </si>
  <si>
    <t>PROPUESTA MODIFICACIÓN ART. 181: VA SOLO AL VNR PARA REMUNERAR ADMTSPi Y OMTSPi</t>
  </si>
  <si>
    <t>INICIO OPER.</t>
  </si>
  <si>
    <t>MMB/.</t>
  </si>
  <si>
    <t>AMPLIACIÓN SE CALDERA 115/34.5 KV</t>
  </si>
  <si>
    <t>SE CONCEPCIÓN 230/34.5 KV</t>
  </si>
  <si>
    <t>Incorporación parcial</t>
  </si>
  <si>
    <t>Mínimo</t>
  </si>
  <si>
    <t>SPT - Inv. Acum.</t>
  </si>
  <si>
    <t>Gastos de funcionamiento</t>
  </si>
  <si>
    <t>Rubro</t>
  </si>
  <si>
    <r>
      <t xml:space="preserve">Santa Rita - Cáceres </t>
    </r>
    <r>
      <rPr>
        <sz val="8"/>
        <rFont val="Arial"/>
      </rPr>
      <t>(1)</t>
    </r>
  </si>
  <si>
    <r>
      <t xml:space="preserve">Panamá - Cáceres </t>
    </r>
    <r>
      <rPr>
        <sz val="8"/>
        <rFont val="Arial"/>
      </rPr>
      <t>(4)</t>
    </r>
  </si>
  <si>
    <t>(Miles de Balboas de Diciembre de 2008)</t>
  </si>
  <si>
    <t>Valores en Miles de Balboas de Diciembre de 2008</t>
  </si>
  <si>
    <t>Verificación del artículo 180 RT (tope 10%)</t>
  </si>
  <si>
    <t>Tope 10%</t>
  </si>
  <si>
    <t>ACTSPT - Planta General</t>
  </si>
  <si>
    <t>ACTNSPT - Planta General</t>
  </si>
  <si>
    <t>Depreciación - Planta General</t>
  </si>
  <si>
    <t>-</t>
  </si>
  <si>
    <t>Planta General con ajuste del artículo 180 del RT</t>
  </si>
  <si>
    <t>Planta General sin artículo 180 del RT (valores contables)</t>
  </si>
  <si>
    <t>SPT + Planta General + Conexión</t>
  </si>
  <si>
    <t>Activos Eléctricos eficientes (AE)</t>
  </si>
  <si>
    <t>Activos No Eléctricos (ANE) - valor de libros</t>
  </si>
  <si>
    <t>(1)</t>
  </si>
  <si>
    <t>(2)</t>
  </si>
  <si>
    <t xml:space="preserve">SUB-TOTAL </t>
  </si>
  <si>
    <t>COSTO DIRECTO TOTAL</t>
  </si>
  <si>
    <t>INGENIERÍA Y SUPERVISIÓN (ETESA)</t>
  </si>
  <si>
    <t>TERRENO</t>
  </si>
  <si>
    <t>OTROS GASTO</t>
  </si>
  <si>
    <t>B.1) Anio 2008 (FUENTE: CAPITALIZACIÓN 2008 ENVIADO A ASEP.XLS)</t>
  </si>
  <si>
    <t>BIENES E INSTALACIONES CAPITALIZADOS EN EL 2008</t>
  </si>
  <si>
    <t>Capitalizaciones auditadas (2005 - 2008)</t>
  </si>
  <si>
    <t>B/.</t>
  </si>
  <si>
    <t>Construcción del edificio</t>
  </si>
  <si>
    <t>Sistemas especiales</t>
  </si>
  <si>
    <t xml:space="preserve">Sub total </t>
  </si>
  <si>
    <t>(3) = (1) + (2)</t>
  </si>
  <si>
    <t>(4)</t>
  </si>
  <si>
    <t>(5) = (3) + (4)</t>
  </si>
  <si>
    <t>RETIROS DE ACTIVOS</t>
  </si>
  <si>
    <t>Monto considerado en el último Plan de Expansión</t>
  </si>
  <si>
    <t xml:space="preserve">Ante la falta de información por parte de ETESA (ver Notas ASEP XXX, XXX y XXX) se realozaron las siguientes hipótesis de trabajo: </t>
  </si>
  <si>
    <t>Activos a ajustar</t>
  </si>
  <si>
    <t>SISTEMAS ESPECIALES</t>
  </si>
  <si>
    <t>SUB - TOTAL</t>
  </si>
  <si>
    <t>MONTOS ESTIMADOS PLAN DE EXPANSIÓN</t>
  </si>
  <si>
    <t>MONTO DE ACTIVOS A RETIRAR</t>
  </si>
  <si>
    <t>FACTOR DE RETIRO (PASAN A ACTIVOS NO PRODUCTIVOS)</t>
  </si>
  <si>
    <t>VERIFICACIÓN DEL ART. 180</t>
  </si>
  <si>
    <t>Tope 10% s/valores brutos</t>
  </si>
  <si>
    <t>A) Activos contables eficientes</t>
  </si>
  <si>
    <t xml:space="preserve">PLAN DE INVERSIONES </t>
  </si>
  <si>
    <t>2009 - 2013</t>
  </si>
  <si>
    <t>En Balboas</t>
  </si>
  <si>
    <t>ITEM</t>
  </si>
  <si>
    <t>Detalle</t>
  </si>
  <si>
    <t xml:space="preserve">MEJORAS AL EQUIPO INFORMATICA </t>
  </si>
  <si>
    <t>Renovacion de Lan 1 Mbp</t>
  </si>
  <si>
    <t>Renovación de Computadoras Portátiles</t>
  </si>
  <si>
    <t>Renovación de Computadoras Personales</t>
  </si>
  <si>
    <t>Actualización de Servidor de Aplicaciones CNDAPP1, Plan de Contingencia</t>
  </si>
  <si>
    <t>Actualización de Servidor de Aplicaciones MEMPA</t>
  </si>
  <si>
    <t>Actualización de Servidor de Datos NAS</t>
  </si>
  <si>
    <t>Estante con llave para fuentes y licencias</t>
  </si>
  <si>
    <t>Actualización de Servidor de Base de Datos BDI</t>
  </si>
  <si>
    <t>SOFTWARE</t>
  </si>
  <si>
    <t>Actualizacion de 55 Licencias Office</t>
  </si>
  <si>
    <t>Actualizacion de Otras licencias; AutoCad, Acrobat, Project, Visual.net</t>
  </si>
  <si>
    <t xml:space="preserve">Mantenimientos por Licencias de Terceros: Oracle, PI, Antivirus </t>
  </si>
  <si>
    <t xml:space="preserve">Software para Respaldo de Información </t>
  </si>
  <si>
    <t xml:space="preserve">RENOVACION DEL SISTEMA SCADA </t>
  </si>
  <si>
    <t xml:space="preserve">Actualizacion de Ranger NMR5, mantnimiento 168 horas al año 24x7. </t>
  </si>
  <si>
    <t>Mobiliario para el Despacho</t>
  </si>
  <si>
    <t>Gastos Administrativos (visitas a Fabrica 2.5%) y capacitaciones periódicas</t>
  </si>
  <si>
    <t>Video Wall</t>
  </si>
  <si>
    <t xml:space="preserve">Centro de Control de Respaldo y adecuacion </t>
  </si>
  <si>
    <t xml:space="preserve">Actualización SCADA, repuestos, licencias y aumento de recurso </t>
  </si>
  <si>
    <t>Capacitacion a operadores en manejo de datos históricos, y modelos DTS.</t>
  </si>
  <si>
    <t xml:space="preserve">Medidores Sincrofasores </t>
  </si>
  <si>
    <t>PROYECTO DE FORTALECIMIENTO AL CND = REVISAR DE NUEVO</t>
  </si>
  <si>
    <t>Procesos de Integracion de Base de Datos</t>
  </si>
  <si>
    <t>Plataforma Hw y SW y servicio para Integración. Licencias PI, para  Intercambio de Información con  los Agentes.</t>
  </si>
  <si>
    <t xml:space="preserve">Procesos de Sistema de Transacciones Comerciales </t>
  </si>
  <si>
    <t>Servidor Web para Intercambio de Información</t>
  </si>
  <si>
    <t>Modelo de coordinación de Esquemas de protección</t>
  </si>
  <si>
    <t>Modelo de despacho de Corto Plazo</t>
  </si>
  <si>
    <t xml:space="preserve">Certificado SSL para el Servidor Web (comunicación segura) y renovaciones anuales </t>
  </si>
  <si>
    <t xml:space="preserve">Capacitacion del Personal </t>
  </si>
  <si>
    <t xml:space="preserve">Generador Portátil </t>
  </si>
  <si>
    <t>Medidores por Calidad de Servicio</t>
  </si>
  <si>
    <t xml:space="preserve">EQUIPOS AUXILIARES </t>
  </si>
  <si>
    <t xml:space="preserve">Sitema de Extinción de llama en el Generador de Emergencias, Cuarto de Baterìas y Salón de Computadoras  </t>
  </si>
  <si>
    <t>Portón Eléctrico Automático</t>
  </si>
  <si>
    <t>Reemplazo de UPS de 70KVA</t>
  </si>
  <si>
    <t xml:space="preserve">Planta de emergencia </t>
  </si>
  <si>
    <t>Sistema de control de acceso, grabación de voz, circuito cerrado de video</t>
  </si>
  <si>
    <t xml:space="preserve">Aire Acondicionado Central </t>
  </si>
  <si>
    <t>Vehiculo -Reemplazo del pick-up</t>
  </si>
  <si>
    <t xml:space="preserve">INTEGRACION DE MERCADOS </t>
  </si>
  <si>
    <t>Consultorias y desarrollo de servicios</t>
  </si>
  <si>
    <t>Particip.</t>
  </si>
  <si>
    <t>PROYECTO DE FORTALECIMIENTO AL CND</t>
  </si>
  <si>
    <t xml:space="preserve">SISTEMA DE MEDICIÓN TIEMPO REAL 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</si>
  <si>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</si>
  <si>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</si>
  <si>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</si>
  <si>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</si>
  <si>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</si>
  <si>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</si>
  <si>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</si>
  <si>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</si>
  <si>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</si>
  <si>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</si>
  <si>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</si>
  <si>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</si>
  <si>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</si>
  <si>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PLAN DE EXPANSIÓN</t>
  </si>
  <si>
    <t>CORTO PLAZO</t>
  </si>
  <si>
    <t>1. Sistema de Transmisión Bocas del Toro</t>
  </si>
  <si>
    <t xml:space="preserve">    L/T 230 KV Fortuna - Changuinola - Frontera</t>
  </si>
  <si>
    <t xml:space="preserve">    S/E Changuinola 230 KV</t>
  </si>
  <si>
    <t xml:space="preserve">    Línea Santa Rita - Cáceres 115 KV</t>
  </si>
  <si>
    <t xml:space="preserve">    S/E Santa Rita 115 KV</t>
  </si>
  <si>
    <t xml:space="preserve">    Adición S/E Panamá II 230 KV</t>
  </si>
  <si>
    <t xml:space="preserve">    L/T Guasquitas - Fortuna - Changuinola. Adición 2do. Circuito 230 KV</t>
  </si>
  <si>
    <t xml:space="preserve">    Adición S/E Changuinola 230 KV</t>
  </si>
  <si>
    <t xml:space="preserve">   Adición S/E Guasquitas 230 KV</t>
  </si>
  <si>
    <t>TOTAL PLAN DE EXPANSIÓN DE CORTO PLAZO</t>
  </si>
  <si>
    <t>LARGO PLAZO</t>
  </si>
  <si>
    <t>1. Líneas y subestaciones</t>
  </si>
  <si>
    <t xml:space="preserve">  Refuerzo Panamá Etapa 1</t>
  </si>
  <si>
    <t xml:space="preserve">       L/T Subt. Panamá doble cto. (Secciona ANTON - PAN II 230 KV</t>
  </si>
  <si>
    <t xml:space="preserve">      Adición S/E Panamá 230 KV</t>
  </si>
  <si>
    <t xml:space="preserve">   Refuerzo Fortuna - Guasquitas</t>
  </si>
  <si>
    <t xml:space="preserve">      L/T Guasquitas - Fortuna 1 cto, 230 KV</t>
  </si>
  <si>
    <t xml:space="preserve">     Adición S/E Guasquitas 230 KV</t>
  </si>
  <si>
    <t xml:space="preserve">     Adición S/E Fortuna 230 KV</t>
  </si>
  <si>
    <t xml:space="preserve">  Refuerzo Guasquitas - Llano Sáchez - Panamá II Etapa</t>
  </si>
  <si>
    <t xml:space="preserve">      L/T Guasquitas - Llano Sánchez doble cto. 1 cto inicial.</t>
  </si>
  <si>
    <t xml:space="preserve">      L/T Llano Sánchez - Panamá II doble cto. 1 cto inicial  </t>
  </si>
  <si>
    <t xml:space="preserve">     Adición S/E Llano Sánchez 230 KV</t>
  </si>
  <si>
    <t xml:space="preserve">     Adición S/E Panamá 230 KV</t>
  </si>
  <si>
    <t>2. Transformadores</t>
  </si>
  <si>
    <t xml:space="preserve">     T4 S/E Panamá</t>
  </si>
  <si>
    <t>3. Capacitores</t>
  </si>
  <si>
    <t xml:space="preserve">    Adición 90 MVAR S/E Llano Sánchez</t>
  </si>
  <si>
    <t>TOTAL PLAN DE EXPANSIÓN DE LARGO PLAZO</t>
  </si>
  <si>
    <t>PLAN DE SISTEMA DE COMUNICACIÓN</t>
  </si>
  <si>
    <t>Migración VHF a UHF</t>
  </si>
  <si>
    <t>PLAN DE PLANTA GENERAL</t>
  </si>
  <si>
    <t>Adquisición equipo de monitoreo en línea de transformadores</t>
  </si>
  <si>
    <t>Automatización e integración de subestaciones</t>
  </si>
  <si>
    <t>Edificio ETESA</t>
  </si>
  <si>
    <t xml:space="preserve">TOTAL PLANTA GENERAL </t>
  </si>
  <si>
    <t>PLAN DE REPOSICIÓN</t>
  </si>
  <si>
    <t>1. Protecciones</t>
  </si>
  <si>
    <t xml:space="preserve">   Reemplazo y adquisición de protecciones diferenciales Etapa I</t>
  </si>
  <si>
    <t xml:space="preserve">   Reemplazo y adquisición de protecciones diferenciales Etapa II</t>
  </si>
  <si>
    <t>2. Subestaciones</t>
  </si>
  <si>
    <t xml:space="preserve">    Rep. Transf. Servicios auxiliares S/E Llano Sánchez</t>
  </si>
  <si>
    <t xml:space="preserve">    Rep. Parcial int. 115 KV S/E Caldera</t>
  </si>
  <si>
    <t xml:space="preserve">    Reemplazo de transformadores de potencial</t>
  </si>
  <si>
    <t xml:space="preserve">   Reemp. Interruptores 115 KV S/E Panamá</t>
  </si>
  <si>
    <t xml:space="preserve">   Reemp. Interruptores 115 KV S/E Mate de Nance </t>
  </si>
  <si>
    <t>LARGO  PLAZO</t>
  </si>
  <si>
    <t>1. Subestaciones</t>
  </si>
  <si>
    <t xml:space="preserve">  Reemp. transformador T2 S/E Mate de Nance</t>
  </si>
  <si>
    <t xml:space="preserve">TOTAL SISTEMA PRINCIPAL </t>
  </si>
  <si>
    <t>Nueva S/E Las Guías 230 KV</t>
  </si>
  <si>
    <t>Nueva S/E Anton 230 KV</t>
  </si>
  <si>
    <t>Adición T3 S/E Llano Sánchez</t>
  </si>
  <si>
    <t xml:space="preserve">Adición T3 S/E Chorrera </t>
  </si>
  <si>
    <t xml:space="preserve">Reemplazo interruptores 34.5 KV S/E Mata de Nance </t>
  </si>
  <si>
    <t>Reemplazo interruptores 115 KV S/E Llano Sánchez</t>
  </si>
  <si>
    <t>Reemplazo interruptores 34.5 KV Llano Sánchez</t>
  </si>
  <si>
    <t>TOTAL SISTEMA DE CONEXIÓN</t>
  </si>
  <si>
    <t>Inversiones no consideradas del Plan de Reposición (costos de O&amp;M)</t>
  </si>
  <si>
    <t>Total anual</t>
  </si>
  <si>
    <t>Inversiones en Planta General</t>
  </si>
  <si>
    <t>Total Anual</t>
  </si>
  <si>
    <t>Incorporación Parcial</t>
  </si>
  <si>
    <t>Valores en miles de Balboas de Diciembre de 2008</t>
  </si>
  <si>
    <t>Valores en Balboas de Diciembre 2008</t>
  </si>
  <si>
    <t xml:space="preserve">SISTEMA DE MEDICIÓN A TIEMPO REAL </t>
  </si>
  <si>
    <t>HIDROMET - GASTOS DE FUNCIONAMIENTO SOLICITADOS                                                                                                    PERIODO 2009 - 2013</t>
  </si>
  <si>
    <t>HIDROMET - GASTOS DE FUNCIONAMIENTO RECONOCIDOS                                                                                                   PERIODO 2009 - 2013</t>
  </si>
  <si>
    <t>Fecha operación</t>
  </si>
  <si>
    <t xml:space="preserve">TOTAL GENERAL </t>
  </si>
  <si>
    <t>Transformadores</t>
  </si>
  <si>
    <t>Capacitores</t>
  </si>
  <si>
    <t>Refuerzo Panamá Etapa 1</t>
  </si>
  <si>
    <t xml:space="preserve"> Refuerzo Fortuna - Guasquitas</t>
  </si>
  <si>
    <t>Sistema de Transmisión Bocas del Toro</t>
  </si>
  <si>
    <t>Refuerzo Guasquitas - Fortuna - Changuinola</t>
  </si>
  <si>
    <t>Banco de capacitores 120 MVAR S/E Panamá II</t>
  </si>
  <si>
    <t>TOTAL PLAN DE  COMUNICACIONES</t>
  </si>
  <si>
    <t>Fondo contingencia  para consultorias imprevistas</t>
  </si>
  <si>
    <t>Sistema de Medición de señales para la supervisión del SIN</t>
  </si>
  <si>
    <t>Modelo para verificar el desempeño de las curvas P/Q de generación</t>
  </si>
  <si>
    <t>Patron Portátil</t>
  </si>
  <si>
    <t>SISTEMA MEDICION TIEMPO REAL</t>
  </si>
  <si>
    <t>PLAN DE INVERSIONES CND AJUSTADO</t>
  </si>
  <si>
    <t>PLAN DE INVERSIONES CND 2009 - 2013. PROPUESTA AJUSTADA RESUMEN.</t>
  </si>
  <si>
    <t>INVERSIONES SOLICITADAS</t>
  </si>
  <si>
    <t>Bienes e instalaciones en servicio al 31 de diciembre de 2000 (valores en Balboas)</t>
  </si>
  <si>
    <t>APROBADO 2005-2009</t>
  </si>
  <si>
    <t xml:space="preserve">RESUMEN VNR LÍNEAS Y SUBESTACIONES </t>
  </si>
  <si>
    <t>PLAN DE INVERSIONES - ETESA</t>
  </si>
  <si>
    <t>PLAN DE INVERSIONES CND SOLICITADO</t>
  </si>
  <si>
    <t>Equipo de informática</t>
  </si>
  <si>
    <t>Reemplazo flota vehicular</t>
  </si>
  <si>
    <t>verif.</t>
  </si>
  <si>
    <t>Sistema Principal (incluye Planta Gral., Equipo de Comunicación y proyectos estratégicos anios 2009 y 2010)</t>
  </si>
  <si>
    <t>230 kV (incluye Planta Gral.y Equipo de Comunicaciones)</t>
  </si>
  <si>
    <t>Activos eléctricos (incluye Equipos de Comunicación)</t>
  </si>
  <si>
    <t xml:space="preserve">    Línea Santa Rita - Panamá II 115 KV</t>
  </si>
  <si>
    <t>Refuerzo Santa Rita - Panamá II 115 KV</t>
  </si>
  <si>
    <t xml:space="preserve">Líneas 115Kv-Santa Rita-Cáceres (115-1A, 115-2A) </t>
  </si>
  <si>
    <t>FACTOR DE AJUSTE ANO 2008 QUE SE APLICA SOBRE  L/T 230 KV Fortuna - Changuinola - Frontera</t>
  </si>
  <si>
    <t xml:space="preserve">PLANTA GENERAL NO PRODUCTIVO </t>
  </si>
  <si>
    <t xml:space="preserve">TOTAL PLAN REPOSICIÓN  - SISTEMA PRINCIPAL </t>
  </si>
  <si>
    <t>TOTAL PLAN REPOSICIÓN - SISTEMA CONEXIÓN</t>
  </si>
  <si>
    <t>abr-09</t>
  </si>
  <si>
    <t>Activos Planta  sin Comunicaciones</t>
  </si>
  <si>
    <t>Activo /incluye Comunicaciones</t>
  </si>
  <si>
    <t>Patio 115Kv-Panamá *</t>
  </si>
  <si>
    <t>*incluye salida 115kv Panamá-Locería</t>
  </si>
  <si>
    <t xml:space="preserve">A) Retiros de Planta General al momento de entrada en operación del nuevo edificio de ETESA (año 2011) </t>
  </si>
  <si>
    <t>(Miles de Balboas)</t>
  </si>
  <si>
    <t>BIENES E INSTALACIONES EN SERVICIO-VALORES AJUSTADOS</t>
  </si>
  <si>
    <t>(en Balboas)</t>
  </si>
  <si>
    <t>PRESUPUESTO DE FUNCIONAMIENTO E INVERSIÓN 2009-2013                                                                                                Valores en Balboas de diciembre de 2008</t>
  </si>
  <si>
    <t>MITIGACION DE IMPACTO AMBIENTAL</t>
  </si>
  <si>
    <t>2. Nueva S/E Las Guías 230 KV</t>
  </si>
  <si>
    <t>3. Refuerzo Santa Rita - Panamá II 115 KV</t>
  </si>
  <si>
    <t>4. Refuerzo Guasquitas - Fortuna - Changuinola</t>
  </si>
  <si>
    <t>5. Banco de capacitores 120 MVAR S/E Panamá II</t>
  </si>
  <si>
    <t>Total kms. Líneas</t>
  </si>
  <si>
    <t>(1) Conformada por los tramos Santa Rita - Chagres (21 km) con conductor 1200 ACAR y Chagres - Cáceres (26 km) con conductor 636 ACSR</t>
  </si>
  <si>
    <t>(2) Conformada por los tramos Panamá - Chilibre (22,50 km), Chilibre - Cemento Panamá (18,20 km) y Cemento Panamá - Bahía Las Minas No.2 (18,70 km), todos con conductor 636 ACSR.</t>
  </si>
  <si>
    <t xml:space="preserve">(3) Circuito sencillo con torre para doble circuito </t>
  </si>
  <si>
    <t>(4) Incliuye línea subterránea</t>
  </si>
  <si>
    <r>
      <t xml:space="preserve">Fortuna - Changuinola-Frontera </t>
    </r>
    <r>
      <rPr>
        <sz val="8"/>
        <rFont val="Arial"/>
      </rPr>
      <t>(3)</t>
    </r>
  </si>
  <si>
    <t>Bienes ajustados-PE+comunic</t>
  </si>
  <si>
    <t>6. Adición Interruptores S/E Cáceres</t>
  </si>
</sst>
</file>

<file path=xl/styles.xml><?xml version="1.0" encoding="utf-8"?>
<styleSheet xmlns="http://schemas.openxmlformats.org/spreadsheetml/2006/main">
  <numFmts count="2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_(* #,##0.00_);_(* \(#,##0.00\);_(* &quot;-&quot;??_);_(@_)"/>
    <numFmt numFmtId="167" formatCode="0.0%"/>
    <numFmt numFmtId="168" formatCode="_(* #,##0_);_(* \(#,##0\);_(* &quot;-&quot;??_);_(@_)"/>
    <numFmt numFmtId="169" formatCode="#,##0.0"/>
    <numFmt numFmtId="170" formatCode="_-[$€-2]* #,##0.00_-;\-[$€-2]* #,##0.00_-;_-[$€-2]* &quot;-&quot;??_-"/>
    <numFmt numFmtId="171" formatCode="#.00"/>
    <numFmt numFmtId="172" formatCode="_-* #,##0_-;\-* #,##0_-;_-* &quot;-&quot;??_-;_-@_-"/>
    <numFmt numFmtId="173" formatCode="0.000"/>
    <numFmt numFmtId="174" formatCode="_(* #,##0.0_);_(* \(#,##0.0\);_(* &quot;-&quot;??_);_(@_)"/>
    <numFmt numFmtId="175" formatCode="#,##0.000"/>
    <numFmt numFmtId="176" formatCode="#,##0.0000"/>
    <numFmt numFmtId="177" formatCode="0.0"/>
    <numFmt numFmtId="178" formatCode="_(* #,##0.000_);_(* \(#,##0.000\);_(* &quot;-&quot;??_);_(@_)"/>
    <numFmt numFmtId="179" formatCode="_-* #,##0\ _€_-;\-* #,##0\ _€_-;_-* &quot;-&quot;??\ _€_-;_-@_-"/>
    <numFmt numFmtId="180" formatCode="_-* #,##0.000\ _€_-;\-* #,##0.000\ _€_-;_-* &quot;-&quot;??\ _€_-;_-@_-"/>
    <numFmt numFmtId="181" formatCode="_-* #,##0\ _P_t_a_-;\-* #,##0\ _P_t_a_-;_-* &quot;-&quot;??\ _P_t_a_-;_-@_-"/>
    <numFmt numFmtId="182" formatCode="_ * #,##0.0_ ;_ * \-#,##0.0_ ;_ * &quot;-&quot;?_ ;_ @_ "/>
    <numFmt numFmtId="183" formatCode="0.0000"/>
    <numFmt numFmtId="184" formatCode="_(* #,##0.00000_);_(* \(#,##0.00000\);_(* &quot;-&quot;??_);_(@_)"/>
    <numFmt numFmtId="185" formatCode="_(* #,##0.0000_);_(* \(#,##0.0000\);_(* &quot;-&quot;??_);_(@_)"/>
    <numFmt numFmtId="186" formatCode="_-* #,##0.0_-;\-* #,##0.0_-;_-* &quot;-&quot;??_-;_-@_-"/>
  </numFmts>
  <fonts count="97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"/>
      <color indexed="8"/>
      <name val="Courier"/>
    </font>
    <font>
      <i/>
      <sz val="1"/>
      <color indexed="8"/>
      <name val="Courier"/>
    </font>
    <font>
      <b/>
      <sz val="10"/>
      <color indexed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7.5"/>
      <name val="Arial"/>
      <family val="2"/>
    </font>
    <font>
      <sz val="8"/>
      <name val="Arial"/>
    </font>
    <font>
      <b/>
      <sz val="11"/>
      <name val="Arial"/>
    </font>
    <font>
      <sz val="11"/>
      <name val="Arial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b/>
      <u/>
      <sz val="11"/>
      <color indexed="10"/>
      <name val="Arial"/>
      <family val="2"/>
    </font>
    <font>
      <b/>
      <sz val="18"/>
      <name val="Arial"/>
      <family val="2"/>
    </font>
    <font>
      <b/>
      <sz val="10"/>
      <name val="Arial"/>
    </font>
    <font>
      <sz val="10"/>
      <name val="Arial"/>
    </font>
    <font>
      <b/>
      <i/>
      <sz val="10"/>
      <name val="Arial"/>
      <family val="2"/>
    </font>
    <font>
      <b/>
      <sz val="10"/>
      <color indexed="12"/>
      <name val="Arial"/>
    </font>
    <font>
      <sz val="10"/>
      <name val="Arial"/>
    </font>
    <font>
      <b/>
      <sz val="10"/>
      <color indexed="48"/>
      <name val="Arial"/>
    </font>
    <font>
      <sz val="10"/>
      <name val="Arial"/>
    </font>
    <font>
      <sz val="10"/>
      <color indexed="10"/>
      <name val="Arial"/>
    </font>
    <font>
      <sz val="10"/>
      <name val="Arial"/>
    </font>
    <font>
      <sz val="10"/>
      <color indexed="48"/>
      <name val="Arial"/>
    </font>
    <font>
      <sz val="10"/>
      <name val="Arial"/>
    </font>
    <font>
      <b/>
      <u/>
      <sz val="10"/>
      <color indexed="10"/>
      <name val="Arial"/>
    </font>
    <font>
      <sz val="10"/>
      <name val="Arial"/>
    </font>
    <font>
      <b/>
      <u/>
      <sz val="10"/>
      <color indexed="12"/>
      <name val="Arial"/>
    </font>
    <font>
      <sz val="10"/>
      <name val="Arial"/>
    </font>
    <font>
      <b/>
      <sz val="10"/>
      <color indexed="10"/>
      <name val="Arial"/>
    </font>
    <font>
      <sz val="10"/>
      <name val="Arial"/>
    </font>
    <font>
      <b/>
      <i/>
      <sz val="10"/>
      <name val="Arial"/>
    </font>
    <font>
      <sz val="10"/>
      <name val="Arial"/>
    </font>
    <font>
      <u/>
      <sz val="10"/>
      <name val="Arial"/>
    </font>
    <font>
      <sz val="10"/>
      <name val="Arial"/>
    </font>
    <font>
      <b/>
      <i/>
      <sz val="11"/>
      <name val="Arial"/>
      <family val="2"/>
    </font>
    <font>
      <b/>
      <sz val="12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9"/>
      <name val="Arial"/>
      <family val="2"/>
    </font>
    <font>
      <b/>
      <u/>
      <sz val="10"/>
      <color indexed="10"/>
      <name val="Arial"/>
      <family val="2"/>
    </font>
    <font>
      <b/>
      <sz val="12"/>
      <color indexed="12"/>
      <name val="Arial"/>
      <family val="2"/>
    </font>
    <font>
      <b/>
      <u/>
      <sz val="10"/>
      <color indexed="12"/>
      <name val="Arial"/>
      <family val="2"/>
    </font>
    <font>
      <sz val="10"/>
      <name val="Tahoma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b/>
      <sz val="12"/>
      <color indexed="18"/>
      <name val="Arial"/>
      <family val="2"/>
    </font>
    <font>
      <b/>
      <sz val="11"/>
      <color indexed="18"/>
      <name val="Arial"/>
      <family val="2"/>
    </font>
    <font>
      <sz val="10"/>
      <color indexed="8"/>
      <name val="Tahoma"/>
      <family val="2"/>
    </font>
    <font>
      <sz val="9"/>
      <color indexed="8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sz val="12"/>
      <name val="Arial"/>
      <family val="2"/>
    </font>
    <font>
      <b/>
      <sz val="10"/>
      <color indexed="18"/>
      <name val="Arial"/>
      <family val="2"/>
    </font>
    <font>
      <sz val="12"/>
      <name val="Arial"/>
    </font>
    <font>
      <i/>
      <sz val="11"/>
      <name val="Arial"/>
    </font>
    <font>
      <sz val="12"/>
      <color indexed="12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65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170" fontId="1" fillId="0" borderId="0" applyFont="0" applyFill="0" applyBorder="0" applyAlignment="0" applyProtection="0"/>
    <xf numFmtId="171" fontId="13" fillId="0" borderId="0">
      <protection locked="0"/>
    </xf>
    <xf numFmtId="171" fontId="13" fillId="0" borderId="0">
      <protection locked="0"/>
    </xf>
    <xf numFmtId="171" fontId="14" fillId="0" borderId="0">
      <protection locked="0"/>
    </xf>
    <xf numFmtId="171" fontId="13" fillId="0" borderId="0">
      <protection locked="0"/>
    </xf>
    <xf numFmtId="171" fontId="13" fillId="0" borderId="0">
      <protection locked="0"/>
    </xf>
    <xf numFmtId="171" fontId="13" fillId="0" borderId="0">
      <protection locked="0"/>
    </xf>
    <xf numFmtId="171" fontId="14" fillId="0" borderId="0">
      <protection locked="0"/>
    </xf>
    <xf numFmtId="0" fontId="34" fillId="3" borderId="0" applyNumberFormat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3" fillId="0" borderId="0"/>
    <xf numFmtId="0" fontId="1" fillId="0" borderId="0"/>
    <xf numFmtId="0" fontId="1" fillId="23" borderId="4" applyNumberFormat="0" applyFont="0" applyAlignment="0" applyProtection="0"/>
    <xf numFmtId="40" fontId="36" fillId="24" borderId="0">
      <alignment horizontal="right"/>
    </xf>
    <xf numFmtId="0" fontId="37" fillId="24" borderId="0">
      <alignment horizontal="right"/>
    </xf>
    <xf numFmtId="0" fontId="38" fillId="24" borderId="5"/>
    <xf numFmtId="0" fontId="38" fillId="0" borderId="0" applyBorder="0">
      <alignment horizontal="centerContinuous"/>
    </xf>
    <xf numFmtId="0" fontId="39" fillId="0" borderId="0" applyBorder="0">
      <alignment horizontal="centerContinuous"/>
    </xf>
    <xf numFmtId="9" fontId="1" fillId="0" borderId="0" applyFont="0" applyFill="0" applyBorder="0" applyAlignment="0" applyProtection="0"/>
    <xf numFmtId="0" fontId="40" fillId="16" borderId="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7" applyNumberFormat="0" applyFill="0" applyAlignment="0" applyProtection="0"/>
    <xf numFmtId="0" fontId="45" fillId="0" borderId="8" applyNumberFormat="0" applyFill="0" applyAlignment="0" applyProtection="0"/>
    <xf numFmtId="0" fontId="32" fillId="0" borderId="9" applyNumberFormat="0" applyFill="0" applyAlignment="0" applyProtection="0"/>
    <xf numFmtId="0" fontId="46" fillId="0" borderId="10" applyNumberFormat="0" applyFill="0" applyAlignment="0" applyProtection="0"/>
  </cellStyleXfs>
  <cellXfs count="1203">
    <xf numFmtId="0" fontId="0" fillId="0" borderId="0" xfId="0"/>
    <xf numFmtId="0" fontId="2" fillId="0" borderId="0" xfId="0" applyFont="1"/>
    <xf numFmtId="0" fontId="2" fillId="0" borderId="11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167" fontId="0" fillId="0" borderId="0" xfId="56" applyNumberFormat="1" applyFont="1"/>
    <xf numFmtId="168" fontId="10" fillId="0" borderId="0" xfId="40" applyNumberFormat="1" applyFont="1"/>
    <xf numFmtId="168" fontId="0" fillId="0" borderId="0" xfId="40" applyNumberFormat="1" applyFont="1"/>
    <xf numFmtId="168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right"/>
    </xf>
    <xf numFmtId="0" fontId="2" fillId="25" borderId="0" xfId="0" applyFont="1" applyFill="1"/>
    <xf numFmtId="168" fontId="3" fillId="0" borderId="12" xfId="40" applyNumberFormat="1" applyFont="1" applyFill="1" applyBorder="1"/>
    <xf numFmtId="0" fontId="0" fillId="0" borderId="5" xfId="0" applyBorder="1"/>
    <xf numFmtId="168" fontId="0" fillId="0" borderId="12" xfId="0" applyNumberFormat="1" applyBorder="1"/>
    <xf numFmtId="168" fontId="3" fillId="0" borderId="12" xfId="40" applyNumberFormat="1" applyFont="1" applyBorder="1"/>
    <xf numFmtId="3" fontId="0" fillId="0" borderId="0" xfId="0" applyNumberFormat="1"/>
    <xf numFmtId="0" fontId="3" fillId="0" borderId="0" xfId="0" applyFont="1" applyBorder="1"/>
    <xf numFmtId="3" fontId="2" fillId="0" borderId="13" xfId="0" applyNumberFormat="1" applyFont="1" applyBorder="1"/>
    <xf numFmtId="0" fontId="0" fillId="0" borderId="0" xfId="0" applyFill="1"/>
    <xf numFmtId="168" fontId="0" fillId="0" borderId="0" xfId="0" applyNumberFormat="1" applyFill="1"/>
    <xf numFmtId="166" fontId="0" fillId="0" borderId="0" xfId="0" applyNumberFormat="1"/>
    <xf numFmtId="168" fontId="2" fillId="0" borderId="0" xfId="40" applyNumberFormat="1" applyFont="1"/>
    <xf numFmtId="3" fontId="2" fillId="0" borderId="0" xfId="0" applyNumberFormat="1" applyFont="1"/>
    <xf numFmtId="0" fontId="10" fillId="0" borderId="0" xfId="0" applyFont="1"/>
    <xf numFmtId="0" fontId="2" fillId="0" borderId="0" xfId="0" applyFont="1" applyFill="1"/>
    <xf numFmtId="0" fontId="3" fillId="0" borderId="14" xfId="0" applyFont="1" applyFill="1" applyBorder="1"/>
    <xf numFmtId="0" fontId="2" fillId="0" borderId="0" xfId="0" applyFont="1" applyFill="1" applyBorder="1"/>
    <xf numFmtId="0" fontId="11" fillId="0" borderId="0" xfId="0" applyFont="1" applyFill="1"/>
    <xf numFmtId="166" fontId="0" fillId="0" borderId="0" xfId="40" applyFont="1"/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0" fillId="0" borderId="0" xfId="0" applyNumberFormat="1"/>
    <xf numFmtId="172" fontId="3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3" fontId="0" fillId="0" borderId="16" xfId="0" applyNumberFormat="1" applyBorder="1"/>
    <xf numFmtId="0" fontId="12" fillId="0" borderId="0" xfId="0" applyFont="1"/>
    <xf numFmtId="0" fontId="16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43" fontId="10" fillId="0" borderId="0" xfId="0" applyNumberFormat="1" applyFont="1"/>
    <xf numFmtId="9" fontId="10" fillId="0" borderId="0" xfId="56" applyFont="1" applyAlignment="1">
      <alignment horizontal="center"/>
    </xf>
    <xf numFmtId="166" fontId="0" fillId="25" borderId="11" xfId="0" applyNumberFormat="1" applyFill="1" applyBorder="1"/>
    <xf numFmtId="172" fontId="0" fillId="0" borderId="0" xfId="0" applyNumberFormat="1" applyBorder="1"/>
    <xf numFmtId="172" fontId="0" fillId="0" borderId="0" xfId="0" applyNumberFormat="1" applyAlignment="1">
      <alignment horizontal="center" vertical="center" wrapText="1"/>
    </xf>
    <xf numFmtId="172" fontId="3" fillId="0" borderId="0" xfId="0" applyNumberFormat="1" applyFont="1" applyBorder="1"/>
    <xf numFmtId="172" fontId="2" fillId="0" borderId="17" xfId="0" applyNumberFormat="1" applyFont="1" applyFill="1" applyBorder="1"/>
    <xf numFmtId="172" fontId="2" fillId="0" borderId="18" xfId="0" applyNumberFormat="1" applyFont="1" applyFill="1" applyBorder="1"/>
    <xf numFmtId="172" fontId="2" fillId="0" borderId="19" xfId="0" applyNumberFormat="1" applyFont="1" applyBorder="1" applyAlignment="1">
      <alignment horizontal="center"/>
    </xf>
    <xf numFmtId="0" fontId="3" fillId="0" borderId="0" xfId="0" applyFont="1"/>
    <xf numFmtId="168" fontId="3" fillId="0" borderId="20" xfId="40" applyNumberFormat="1" applyFont="1" applyFill="1" applyBorder="1"/>
    <xf numFmtId="0" fontId="2" fillId="0" borderId="21" xfId="0" applyFont="1" applyFill="1" applyBorder="1"/>
    <xf numFmtId="168" fontId="2" fillId="0" borderId="22" xfId="0" applyNumberFormat="1" applyFont="1" applyFill="1" applyBorder="1"/>
    <xf numFmtId="168" fontId="10" fillId="0" borderId="20" xfId="40" applyNumberFormat="1" applyFont="1" applyFill="1" applyBorder="1"/>
    <xf numFmtId="168" fontId="10" fillId="0" borderId="11" xfId="40" applyNumberFormat="1" applyFont="1" applyBorder="1"/>
    <xf numFmtId="168" fontId="2" fillId="0" borderId="11" xfId="0" applyNumberFormat="1" applyFont="1" applyBorder="1"/>
    <xf numFmtId="0" fontId="2" fillId="0" borderId="23" xfId="0" applyFont="1" applyFill="1" applyBorder="1" applyAlignment="1">
      <alignment horizontal="right"/>
    </xf>
    <xf numFmtId="0" fontId="2" fillId="0" borderId="15" xfId="0" applyFont="1" applyFill="1" applyBorder="1"/>
    <xf numFmtId="0" fontId="3" fillId="0" borderId="11" xfId="0" applyFont="1" applyBorder="1"/>
    <xf numFmtId="3" fontId="3" fillId="0" borderId="11" xfId="0" applyNumberFormat="1" applyFont="1" applyBorder="1"/>
    <xf numFmtId="3" fontId="2" fillId="0" borderId="11" xfId="0" applyNumberFormat="1" applyFont="1" applyBorder="1"/>
    <xf numFmtId="0" fontId="10" fillId="0" borderId="11" xfId="0" applyFont="1" applyBorder="1"/>
    <xf numFmtId="3" fontId="10" fillId="0" borderId="11" xfId="0" applyNumberFormat="1" applyFont="1" applyBorder="1"/>
    <xf numFmtId="0" fontId="2" fillId="0" borderId="0" xfId="0" applyFont="1" applyAlignment="1">
      <alignment horizontal="center"/>
    </xf>
    <xf numFmtId="1" fontId="10" fillId="0" borderId="11" xfId="0" applyNumberFormat="1" applyFont="1" applyBorder="1"/>
    <xf numFmtId="168" fontId="2" fillId="0" borderId="0" xfId="0" applyNumberFormat="1" applyFont="1" applyBorder="1"/>
    <xf numFmtId="1" fontId="2" fillId="26" borderId="11" xfId="0" applyNumberFormat="1" applyFont="1" applyFill="1" applyBorder="1" applyAlignment="1">
      <alignment horizontal="center" vertical="top" wrapText="1"/>
    </xf>
    <xf numFmtId="3" fontId="3" fillId="0" borderId="11" xfId="0" applyNumberFormat="1" applyFont="1" applyBorder="1" applyAlignment="1"/>
    <xf numFmtId="0" fontId="3" fillId="27" borderId="11" xfId="0" applyFont="1" applyFill="1" applyBorder="1"/>
    <xf numFmtId="0" fontId="2" fillId="27" borderId="11" xfId="0" applyFont="1" applyFill="1" applyBorder="1"/>
    <xf numFmtId="9" fontId="0" fillId="27" borderId="11" xfId="56" applyFont="1" applyFill="1" applyBorder="1"/>
    <xf numFmtId="3" fontId="2" fillId="28" borderId="0" xfId="0" applyNumberFormat="1" applyFont="1" applyFill="1"/>
    <xf numFmtId="0" fontId="15" fillId="0" borderId="0" xfId="0" applyFont="1" applyAlignment="1">
      <alignment horizontal="left" vertical="center" wrapText="1"/>
    </xf>
    <xf numFmtId="9" fontId="0" fillId="27" borderId="0" xfId="56" applyNumberFormat="1" applyFont="1" applyFill="1" applyBorder="1"/>
    <xf numFmtId="168" fontId="0" fillId="0" borderId="0" xfId="0" applyNumberFormat="1" applyBorder="1"/>
    <xf numFmtId="169" fontId="0" fillId="0" borderId="0" xfId="0" applyNumberFormat="1"/>
    <xf numFmtId="10" fontId="1" fillId="0" borderId="0" xfId="56" applyNumberFormat="1"/>
    <xf numFmtId="3" fontId="2" fillId="0" borderId="24" xfId="0" applyNumberFormat="1" applyFont="1" applyBorder="1"/>
    <xf numFmtId="3" fontId="0" fillId="29" borderId="16" xfId="0" applyNumberFormat="1" applyFill="1" applyBorder="1"/>
    <xf numFmtId="2" fontId="0" fillId="0" borderId="0" xfId="0" applyNumberFormat="1"/>
    <xf numFmtId="0" fontId="0" fillId="0" borderId="0" xfId="0" applyAlignment="1"/>
    <xf numFmtId="172" fontId="0" fillId="0" borderId="25" xfId="0" applyNumberForma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178" fontId="0" fillId="0" borderId="0" xfId="0" applyNumberFormat="1" applyAlignment="1"/>
    <xf numFmtId="172" fontId="10" fillId="0" borderId="0" xfId="0" applyNumberFormat="1" applyFont="1" applyBorder="1" applyAlignment="1">
      <alignment vertical="center"/>
    </xf>
    <xf numFmtId="172" fontId="2" fillId="0" borderId="0" xfId="0" applyNumberFormat="1" applyFont="1" applyFill="1" applyBorder="1"/>
    <xf numFmtId="9" fontId="10" fillId="0" borderId="0" xfId="56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Fill="1" applyAlignment="1"/>
    <xf numFmtId="168" fontId="10" fillId="0" borderId="0" xfId="40" applyNumberFormat="1" applyFont="1" applyAlignment="1"/>
    <xf numFmtId="0" fontId="10" fillId="0" borderId="0" xfId="0" applyFont="1" applyFill="1" applyAlignment="1"/>
    <xf numFmtId="167" fontId="0" fillId="0" borderId="0" xfId="56" applyNumberFormat="1" applyFont="1" applyAlignment="1"/>
    <xf numFmtId="3" fontId="2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2" fontId="0" fillId="0" borderId="28" xfId="0" applyNumberFormat="1" applyFill="1" applyBorder="1" applyAlignment="1">
      <alignment horizontal="center" vertical="center" wrapText="1"/>
    </xf>
    <xf numFmtId="3" fontId="0" fillId="30" borderId="16" xfId="0" applyNumberFormat="1" applyFill="1" applyBorder="1"/>
    <xf numFmtId="0" fontId="48" fillId="0" borderId="0" xfId="0" applyFont="1"/>
    <xf numFmtId="0" fontId="7" fillId="0" borderId="0" xfId="0" applyNumberFormat="1" applyFont="1" applyFill="1" applyBorder="1" applyAlignment="1" applyProtection="1"/>
    <xf numFmtId="3" fontId="7" fillId="0" borderId="12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3" fontId="8" fillId="0" borderId="12" xfId="0" applyNumberFormat="1" applyFont="1" applyFill="1" applyBorder="1"/>
    <xf numFmtId="0" fontId="7" fillId="0" borderId="0" xfId="0" applyFont="1" applyFill="1" applyBorder="1"/>
    <xf numFmtId="3" fontId="7" fillId="0" borderId="12" xfId="0" applyNumberFormat="1" applyFont="1" applyFill="1" applyBorder="1" applyAlignment="1">
      <alignment horizontal="right"/>
    </xf>
    <xf numFmtId="3" fontId="8" fillId="0" borderId="12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8" fillId="0" borderId="29" xfId="0" applyFont="1" applyFill="1" applyBorder="1"/>
    <xf numFmtId="0" fontId="7" fillId="0" borderId="29" xfId="0" applyFont="1" applyFill="1" applyBorder="1"/>
    <xf numFmtId="3" fontId="7" fillId="0" borderId="12" xfId="0" applyNumberFormat="1" applyFont="1" applyFill="1" applyBorder="1"/>
    <xf numFmtId="0" fontId="8" fillId="0" borderId="0" xfId="0" applyFont="1" applyFill="1" applyBorder="1"/>
    <xf numFmtId="3" fontId="8" fillId="0" borderId="11" xfId="0" applyNumberFormat="1" applyFont="1" applyFill="1" applyBorder="1"/>
    <xf numFmtId="0" fontId="7" fillId="0" borderId="0" xfId="0" applyFont="1"/>
    <xf numFmtId="3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3" fontId="8" fillId="0" borderId="0" xfId="0" applyNumberFormat="1" applyFont="1" applyBorder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3" fontId="2" fillId="0" borderId="0" xfId="0" applyNumberFormat="1" applyFont="1" applyFill="1" applyBorder="1"/>
    <xf numFmtId="9" fontId="2" fillId="0" borderId="0" xfId="56" applyFont="1" applyFill="1" applyBorder="1"/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1" xfId="0" applyFont="1" applyBorder="1"/>
    <xf numFmtId="0" fontId="8" fillId="0" borderId="0" xfId="0" applyFont="1" applyBorder="1"/>
    <xf numFmtId="9" fontId="8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79" fontId="7" fillId="0" borderId="11" xfId="43" applyNumberFormat="1" applyFont="1" applyBorder="1"/>
    <xf numFmtId="164" fontId="7" fillId="0" borderId="11" xfId="43" applyFont="1" applyBorder="1"/>
    <xf numFmtId="164" fontId="7" fillId="0" borderId="0" xfId="43" applyFont="1" applyBorder="1"/>
    <xf numFmtId="179" fontId="7" fillId="0" borderId="11" xfId="0" applyNumberFormat="1" applyFont="1" applyBorder="1"/>
    <xf numFmtId="179" fontId="7" fillId="0" borderId="11" xfId="0" applyNumberFormat="1" applyFont="1" applyBorder="1" applyAlignment="1">
      <alignment horizontal="center"/>
    </xf>
    <xf numFmtId="179" fontId="7" fillId="0" borderId="11" xfId="43" applyNumberFormat="1" applyFont="1" applyBorder="1" applyAlignment="1"/>
    <xf numFmtId="164" fontId="7" fillId="0" borderId="11" xfId="43" applyFont="1" applyBorder="1" applyAlignment="1">
      <alignment horizontal="center"/>
    </xf>
    <xf numFmtId="164" fontId="7" fillId="0" borderId="0" xfId="0" applyNumberFormat="1" applyFont="1"/>
    <xf numFmtId="179" fontId="7" fillId="0" borderId="0" xfId="0" applyNumberFormat="1" applyFont="1"/>
    <xf numFmtId="179" fontId="8" fillId="0" borderId="11" xfId="0" applyNumberFormat="1" applyFont="1" applyBorder="1"/>
    <xf numFmtId="167" fontId="7" fillId="0" borderId="11" xfId="56" applyNumberFormat="1" applyFont="1" applyBorder="1"/>
    <xf numFmtId="164" fontId="8" fillId="0" borderId="11" xfId="0" applyNumberFormat="1" applyFont="1" applyBorder="1"/>
    <xf numFmtId="164" fontId="8" fillId="0" borderId="0" xfId="0" applyNumberFormat="1" applyFont="1" applyBorder="1"/>
    <xf numFmtId="9" fontId="7" fillId="0" borderId="11" xfId="56" applyFont="1" applyBorder="1" applyAlignment="1"/>
    <xf numFmtId="0" fontId="7" fillId="0" borderId="0" xfId="0" applyFont="1" applyAlignment="1">
      <alignment horizontal="center"/>
    </xf>
    <xf numFmtId="0" fontId="7" fillId="0" borderId="11" xfId="0" applyFont="1" applyBorder="1"/>
    <xf numFmtId="164" fontId="7" fillId="0" borderId="11" xfId="0" applyNumberFormat="1" applyFont="1" applyBorder="1"/>
    <xf numFmtId="164" fontId="7" fillId="0" borderId="11" xfId="43" applyFont="1" applyFill="1" applyBorder="1" applyAlignment="1">
      <alignment horizontal="center"/>
    </xf>
    <xf numFmtId="0" fontId="8" fillId="27" borderId="11" xfId="0" applyFont="1" applyFill="1" applyBorder="1" applyAlignment="1">
      <alignment horizontal="center"/>
    </xf>
    <xf numFmtId="0" fontId="8" fillId="27" borderId="11" xfId="0" applyFont="1" applyFill="1" applyBorder="1"/>
    <xf numFmtId="167" fontId="7" fillId="0" borderId="0" xfId="56" applyNumberFormat="1" applyFont="1" applyAlignment="1">
      <alignment horizontal="center"/>
    </xf>
    <xf numFmtId="167" fontId="7" fillId="0" borderId="11" xfId="56" applyNumberFormat="1" applyFont="1" applyBorder="1" applyAlignment="1">
      <alignment horizontal="center"/>
    </xf>
    <xf numFmtId="179" fontId="7" fillId="0" borderId="11" xfId="40" applyNumberFormat="1" applyFont="1" applyBorder="1"/>
    <xf numFmtId="0" fontId="47" fillId="0" borderId="0" xfId="0" applyFont="1"/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/>
    </xf>
    <xf numFmtId="3" fontId="7" fillId="0" borderId="30" xfId="0" applyNumberFormat="1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horizontal="center" vertical="center"/>
    </xf>
    <xf numFmtId="3" fontId="7" fillId="27" borderId="32" xfId="0" applyNumberFormat="1" applyFont="1" applyFill="1" applyBorder="1" applyAlignment="1">
      <alignment vertical="center"/>
    </xf>
    <xf numFmtId="181" fontId="7" fillId="0" borderId="0" xfId="40" applyNumberFormat="1" applyFont="1" applyFill="1"/>
    <xf numFmtId="0" fontId="7" fillId="0" borderId="0" xfId="0" applyFont="1" applyFill="1"/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/>
    </xf>
    <xf numFmtId="3" fontId="7" fillId="0" borderId="35" xfId="0" applyNumberFormat="1" applyFont="1" applyFill="1" applyBorder="1" applyAlignment="1">
      <alignment horizontal="center" vertical="center"/>
    </xf>
    <xf numFmtId="3" fontId="7" fillId="0" borderId="36" xfId="0" applyNumberFormat="1" applyFont="1" applyFill="1" applyBorder="1" applyAlignment="1">
      <alignment horizontal="center" vertical="center"/>
    </xf>
    <xf numFmtId="3" fontId="7" fillId="27" borderId="37" xfId="0" applyNumberFormat="1" applyFont="1" applyFill="1" applyBorder="1" applyAlignment="1">
      <alignment vertical="center"/>
    </xf>
    <xf numFmtId="0" fontId="7" fillId="0" borderId="21" xfId="0" applyFont="1" applyFill="1" applyBorder="1"/>
    <xf numFmtId="0" fontId="7" fillId="0" borderId="16" xfId="0" applyFont="1" applyFill="1" applyBorder="1"/>
    <xf numFmtId="3" fontId="8" fillId="27" borderId="38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right"/>
    </xf>
    <xf numFmtId="179" fontId="8" fillId="27" borderId="11" xfId="0" applyNumberFormat="1" applyFont="1" applyFill="1" applyBorder="1"/>
    <xf numFmtId="0" fontId="50" fillId="0" borderId="0" xfId="0" applyFont="1"/>
    <xf numFmtId="180" fontId="7" fillId="0" borderId="0" xfId="0" applyNumberFormat="1" applyFont="1"/>
    <xf numFmtId="167" fontId="7" fillId="0" borderId="0" xfId="56" applyNumberFormat="1" applyFont="1" applyBorder="1" applyAlignment="1">
      <alignment horizontal="center"/>
    </xf>
    <xf numFmtId="9" fontId="7" fillId="0" borderId="0" xfId="56" applyFont="1"/>
    <xf numFmtId="0" fontId="2" fillId="0" borderId="0" xfId="0" applyFont="1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8" fontId="2" fillId="0" borderId="0" xfId="0" applyNumberFormat="1" applyFont="1" applyAlignment="1">
      <alignment horizontal="center"/>
    </xf>
    <xf numFmtId="0" fontId="12" fillId="0" borderId="0" xfId="0" applyFont="1" applyAlignment="1"/>
    <xf numFmtId="3" fontId="7" fillId="0" borderId="11" xfId="0" applyNumberFormat="1" applyFont="1" applyBorder="1"/>
    <xf numFmtId="3" fontId="8" fillId="0" borderId="11" xfId="0" applyNumberFormat="1" applyFont="1" applyBorder="1"/>
    <xf numFmtId="0" fontId="0" fillId="0" borderId="15" xfId="0" applyFill="1" applyBorder="1"/>
    <xf numFmtId="0" fontId="2" fillId="0" borderId="21" xfId="0" applyFont="1" applyFill="1" applyBorder="1" applyAlignment="1">
      <alignment horizontal="center" vertical="center" wrapText="1"/>
    </xf>
    <xf numFmtId="172" fontId="0" fillId="0" borderId="0" xfId="0" applyNumberFormat="1" applyFill="1" applyBorder="1" applyAlignment="1">
      <alignment horizontal="center" vertical="center" wrapText="1"/>
    </xf>
    <xf numFmtId="172" fontId="1" fillId="0" borderId="39" xfId="45" applyNumberForma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72" fontId="0" fillId="0" borderId="40" xfId="0" applyNumberFormat="1" applyFill="1" applyBorder="1" applyAlignment="1">
      <alignment horizontal="center" vertical="center" wrapText="1"/>
    </xf>
    <xf numFmtId="172" fontId="2" fillId="0" borderId="41" xfId="0" applyNumberFormat="1" applyFont="1" applyFill="1" applyBorder="1" applyAlignment="1">
      <alignment horizontal="center" vertical="center" wrapText="1"/>
    </xf>
    <xf numFmtId="172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2" fontId="2" fillId="0" borderId="41" xfId="0" applyNumberFormat="1" applyFont="1" applyFill="1" applyBorder="1" applyAlignment="1">
      <alignment horizontal="center"/>
    </xf>
    <xf numFmtId="172" fontId="0" fillId="0" borderId="38" xfId="0" applyNumberFormat="1" applyFill="1" applyBorder="1"/>
    <xf numFmtId="172" fontId="2" fillId="0" borderId="22" xfId="0" applyNumberFormat="1" applyFont="1" applyFill="1" applyBorder="1" applyAlignment="1">
      <alignment horizontal="center" vertical="center" wrapText="1"/>
    </xf>
    <xf numFmtId="172" fontId="2" fillId="0" borderId="42" xfId="0" applyNumberFormat="1" applyFont="1" applyFill="1" applyBorder="1" applyAlignment="1">
      <alignment horizontal="center" vertical="center" wrapText="1"/>
    </xf>
    <xf numFmtId="172" fontId="2" fillId="0" borderId="43" xfId="0" applyNumberFormat="1" applyFont="1" applyFill="1" applyBorder="1" applyAlignment="1">
      <alignment horizontal="center" vertical="center" wrapText="1"/>
    </xf>
    <xf numFmtId="172" fontId="2" fillId="0" borderId="44" xfId="0" applyNumberFormat="1" applyFont="1" applyFill="1" applyBorder="1" applyAlignment="1">
      <alignment horizontal="center" vertical="center" wrapText="1"/>
    </xf>
    <xf numFmtId="172" fontId="2" fillId="0" borderId="18" xfId="0" applyNumberFormat="1" applyFont="1" applyFill="1" applyBorder="1" applyAlignment="1">
      <alignment horizontal="center" vertical="center" wrapText="1"/>
    </xf>
    <xf numFmtId="172" fontId="0" fillId="0" borderId="45" xfId="0" applyNumberFormat="1" applyFill="1" applyBorder="1" applyAlignment="1">
      <alignment horizontal="center" vertical="center" wrapText="1"/>
    </xf>
    <xf numFmtId="172" fontId="1" fillId="0" borderId="46" xfId="45" applyNumberFormat="1" applyFill="1" applyBorder="1" applyAlignment="1">
      <alignment horizontal="center" vertical="center" wrapText="1"/>
    </xf>
    <xf numFmtId="172" fontId="0" fillId="0" borderId="47" xfId="0" applyNumberFormat="1" applyFill="1" applyBorder="1" applyAlignment="1">
      <alignment horizontal="center" vertical="center" wrapText="1"/>
    </xf>
    <xf numFmtId="172" fontId="52" fillId="0" borderId="0" xfId="45" applyNumberFormat="1" applyFont="1" applyFill="1" applyBorder="1" applyAlignment="1">
      <alignment horizontal="center" vertical="center" wrapText="1"/>
    </xf>
    <xf numFmtId="172" fontId="3" fillId="0" borderId="48" xfId="45" applyNumberFormat="1" applyFont="1" applyFill="1" applyBorder="1" applyAlignment="1">
      <alignment horizontal="center" vertical="center" wrapText="1"/>
    </xf>
    <xf numFmtId="172" fontId="3" fillId="0" borderId="45" xfId="45" applyNumberFormat="1" applyFont="1" applyFill="1" applyBorder="1" applyAlignment="1">
      <alignment horizontal="center" vertical="center" wrapText="1"/>
    </xf>
    <xf numFmtId="172" fontId="3" fillId="0" borderId="49" xfId="45" applyNumberFormat="1" applyFont="1" applyFill="1" applyBorder="1" applyAlignment="1">
      <alignment horizontal="center" vertical="center" wrapText="1"/>
    </xf>
    <xf numFmtId="172" fontId="3" fillId="0" borderId="47" xfId="45" applyNumberFormat="1" applyFont="1" applyFill="1" applyBorder="1" applyAlignment="1">
      <alignment horizontal="center" vertical="center" wrapText="1"/>
    </xf>
    <xf numFmtId="172" fontId="3" fillId="0" borderId="50" xfId="45" applyNumberFormat="1" applyFont="1" applyFill="1" applyBorder="1" applyAlignment="1">
      <alignment horizontal="center" vertical="center" wrapText="1"/>
    </xf>
    <xf numFmtId="172" fontId="3" fillId="0" borderId="40" xfId="0" applyNumberFormat="1" applyFont="1" applyFill="1" applyBorder="1" applyAlignment="1">
      <alignment vertical="center"/>
    </xf>
    <xf numFmtId="172" fontId="3" fillId="0" borderId="42" xfId="0" applyNumberFormat="1" applyFont="1" applyFill="1" applyBorder="1" applyAlignment="1">
      <alignment vertical="center"/>
    </xf>
    <xf numFmtId="0" fontId="3" fillId="0" borderId="14" xfId="49" applyFont="1" applyFill="1" applyBorder="1"/>
    <xf numFmtId="0" fontId="3" fillId="0" borderId="21" xfId="49" applyFont="1" applyFill="1" applyBorder="1"/>
    <xf numFmtId="0" fontId="8" fillId="0" borderId="51" xfId="0" applyFont="1" applyFill="1" applyBorder="1"/>
    <xf numFmtId="0" fontId="8" fillId="0" borderId="52" xfId="0" applyFont="1" applyFill="1" applyBorder="1" applyAlignment="1">
      <alignment horizontal="right"/>
    </xf>
    <xf numFmtId="0" fontId="8" fillId="0" borderId="53" xfId="0" applyFont="1" applyFill="1" applyBorder="1" applyAlignment="1">
      <alignment horizontal="right"/>
    </xf>
    <xf numFmtId="168" fontId="7" fillId="0" borderId="0" xfId="40" applyNumberFormat="1" applyFont="1" applyFill="1" applyBorder="1"/>
    <xf numFmtId="168" fontId="7" fillId="0" borderId="5" xfId="0" applyNumberFormat="1" applyFont="1" applyFill="1" applyBorder="1"/>
    <xf numFmtId="0" fontId="7" fillId="0" borderId="5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54" xfId="0" applyFont="1" applyFill="1" applyBorder="1"/>
    <xf numFmtId="168" fontId="8" fillId="0" borderId="0" xfId="0" applyNumberFormat="1" applyFont="1" applyFill="1" applyBorder="1"/>
    <xf numFmtId="168" fontId="8" fillId="0" borderId="5" xfId="0" applyNumberFormat="1" applyFont="1" applyFill="1" applyBorder="1"/>
    <xf numFmtId="168" fontId="8" fillId="0" borderId="55" xfId="0" applyNumberFormat="1" applyFont="1" applyFill="1" applyBorder="1"/>
    <xf numFmtId="168" fontId="8" fillId="0" borderId="56" xfId="0" applyNumberFormat="1" applyFont="1" applyFill="1" applyBorder="1"/>
    <xf numFmtId="0" fontId="1" fillId="0" borderId="0" xfId="0" applyFont="1" applyFill="1" applyBorder="1"/>
    <xf numFmtId="10" fontId="1" fillId="0" borderId="0" xfId="56" applyNumberFormat="1" applyFont="1" applyFill="1" applyBorder="1"/>
    <xf numFmtId="167" fontId="1" fillId="0" borderId="0" xfId="56" applyNumberFormat="1" applyFont="1" applyFill="1" applyBorder="1"/>
    <xf numFmtId="168" fontId="1" fillId="0" borderId="0" xfId="40" applyNumberFormat="1" applyFont="1" applyFill="1" applyBorder="1"/>
    <xf numFmtId="9" fontId="1" fillId="0" borderId="0" xfId="56" applyFont="1" applyFill="1" applyBorder="1"/>
    <xf numFmtId="168" fontId="1" fillId="0" borderId="0" xfId="0" applyNumberFormat="1" applyFont="1" applyFill="1" applyBorder="1"/>
    <xf numFmtId="168" fontId="10" fillId="30" borderId="0" xfId="40" applyNumberFormat="1" applyFont="1" applyFill="1" applyAlignment="1"/>
    <xf numFmtId="0" fontId="54" fillId="0" borderId="0" xfId="0" applyFont="1" applyAlignment="1">
      <alignment horizontal="center"/>
    </xf>
    <xf numFmtId="0" fontId="55" fillId="0" borderId="0" xfId="0" applyFont="1"/>
    <xf numFmtId="0" fontId="57" fillId="0" borderId="0" xfId="0" applyFont="1"/>
    <xf numFmtId="9" fontId="58" fillId="25" borderId="0" xfId="56" applyFont="1" applyFill="1"/>
    <xf numFmtId="0" fontId="59" fillId="0" borderId="0" xfId="0" applyFont="1"/>
    <xf numFmtId="0" fontId="54" fillId="0" borderId="0" xfId="0" applyFont="1" applyAlignment="1">
      <alignment horizontal="center" vertical="center" wrapText="1"/>
    </xf>
    <xf numFmtId="0" fontId="60" fillId="0" borderId="0" xfId="0" applyFont="1"/>
    <xf numFmtId="0" fontId="61" fillId="0" borderId="0" xfId="0" applyFont="1"/>
    <xf numFmtId="0" fontId="52" fillId="0" borderId="0" xfId="0" applyFont="1"/>
    <xf numFmtId="0" fontId="54" fillId="0" borderId="0" xfId="0" applyFont="1" applyAlignment="1">
      <alignment horizontal="left" vertical="center" wrapText="1"/>
    </xf>
    <xf numFmtId="0" fontId="56" fillId="0" borderId="0" xfId="0" applyFont="1"/>
    <xf numFmtId="0" fontId="56" fillId="0" borderId="0" xfId="0" applyFont="1" applyAlignment="1">
      <alignment horizontal="center" vertical="center" wrapText="1"/>
    </xf>
    <xf numFmtId="0" fontId="54" fillId="29" borderId="57" xfId="0" applyFont="1" applyFill="1" applyBorder="1" applyAlignment="1">
      <alignment horizontal="center" vertical="center" wrapText="1"/>
    </xf>
    <xf numFmtId="0" fontId="56" fillId="30" borderId="0" xfId="0" applyFont="1" applyFill="1" applyAlignment="1">
      <alignment horizontal="center" vertical="center" wrapText="1"/>
    </xf>
    <xf numFmtId="3" fontId="57" fillId="0" borderId="0" xfId="0" applyNumberFormat="1" applyFont="1"/>
    <xf numFmtId="167" fontId="58" fillId="0" borderId="0" xfId="56" applyNumberFormat="1" applyFont="1"/>
    <xf numFmtId="167" fontId="59" fillId="0" borderId="0" xfId="56" applyNumberFormat="1" applyFont="1"/>
    <xf numFmtId="3" fontId="59" fillId="0" borderId="0" xfId="0" applyNumberFormat="1" applyFont="1"/>
    <xf numFmtId="167" fontId="59" fillId="29" borderId="20" xfId="56" applyNumberFormat="1" applyFont="1" applyFill="1" applyBorder="1" applyAlignment="1">
      <alignment horizontal="center"/>
    </xf>
    <xf numFmtId="3" fontId="59" fillId="30" borderId="0" xfId="0" applyNumberFormat="1" applyFont="1" applyFill="1"/>
    <xf numFmtId="3" fontId="59" fillId="0" borderId="16" xfId="0" applyNumberFormat="1" applyFont="1" applyBorder="1"/>
    <xf numFmtId="167" fontId="59" fillId="29" borderId="22" xfId="56" applyNumberFormat="1" applyFont="1" applyFill="1" applyBorder="1" applyAlignment="1">
      <alignment horizontal="center"/>
    </xf>
    <xf numFmtId="0" fontId="51" fillId="0" borderId="0" xfId="0" applyFont="1" applyAlignment="1">
      <alignment horizontal="right"/>
    </xf>
    <xf numFmtId="3" fontId="51" fillId="0" borderId="0" xfId="0" applyNumberFormat="1" applyFont="1"/>
    <xf numFmtId="3" fontId="52" fillId="0" borderId="0" xfId="0" applyNumberFormat="1" applyFont="1"/>
    <xf numFmtId="3" fontId="59" fillId="0" borderId="0" xfId="0" applyNumberFormat="1" applyFont="1" applyFill="1"/>
    <xf numFmtId="3" fontId="59" fillId="0" borderId="16" xfId="0" applyNumberFormat="1" applyFont="1" applyFill="1" applyBorder="1"/>
    <xf numFmtId="0" fontId="51" fillId="0" borderId="0" xfId="0" applyFont="1"/>
    <xf numFmtId="3" fontId="51" fillId="0" borderId="13" xfId="0" applyNumberFormat="1" applyFont="1" applyBorder="1"/>
    <xf numFmtId="10" fontId="52" fillId="0" borderId="0" xfId="56" applyNumberFormat="1" applyFont="1"/>
    <xf numFmtId="0" fontId="54" fillId="25" borderId="0" xfId="0" applyFont="1" applyFill="1" applyAlignment="1">
      <alignment horizontal="center"/>
    </xf>
    <xf numFmtId="3" fontId="55" fillId="0" borderId="0" xfId="0" applyNumberFormat="1" applyFont="1"/>
    <xf numFmtId="0" fontId="62" fillId="0" borderId="0" xfId="0" applyFont="1"/>
    <xf numFmtId="3" fontId="63" fillId="0" borderId="0" xfId="0" applyNumberFormat="1" applyFont="1"/>
    <xf numFmtId="0" fontId="63" fillId="0" borderId="0" xfId="0" applyFont="1"/>
    <xf numFmtId="0" fontId="64" fillId="0" borderId="0" xfId="0" applyFont="1"/>
    <xf numFmtId="3" fontId="65" fillId="0" borderId="0" xfId="0" applyNumberFormat="1" applyFont="1"/>
    <xf numFmtId="0" fontId="65" fillId="0" borderId="0" xfId="0" applyFont="1"/>
    <xf numFmtId="3" fontId="58" fillId="0" borderId="0" xfId="0" applyNumberFormat="1" applyFont="1"/>
    <xf numFmtId="3" fontId="59" fillId="0" borderId="0" xfId="0" applyNumberFormat="1" applyFont="1" applyFill="1" applyBorder="1"/>
    <xf numFmtId="3" fontId="59" fillId="0" borderId="0" xfId="0" applyNumberFormat="1" applyFont="1" applyBorder="1"/>
    <xf numFmtId="173" fontId="59" fillId="0" borderId="0" xfId="56" applyNumberFormat="1" applyFont="1"/>
    <xf numFmtId="0" fontId="59" fillId="0" borderId="0" xfId="0" applyFont="1" applyFill="1"/>
    <xf numFmtId="3" fontId="65" fillId="0" borderId="0" xfId="0" applyNumberFormat="1" applyFont="1" applyFill="1" applyBorder="1"/>
    <xf numFmtId="3" fontId="65" fillId="0" borderId="0" xfId="0" applyNumberFormat="1" applyFont="1" applyBorder="1"/>
    <xf numFmtId="0" fontId="66" fillId="0" borderId="0" xfId="0" applyFont="1"/>
    <xf numFmtId="3" fontId="67" fillId="0" borderId="0" xfId="0" applyNumberFormat="1" applyFont="1" applyFill="1" applyBorder="1"/>
    <xf numFmtId="3" fontId="67" fillId="0" borderId="0" xfId="0" applyNumberFormat="1" applyFont="1" applyBorder="1"/>
    <xf numFmtId="0" fontId="67" fillId="0" borderId="0" xfId="0" applyFont="1"/>
    <xf numFmtId="3" fontId="58" fillId="0" borderId="16" xfId="0" applyNumberFormat="1" applyFont="1" applyBorder="1"/>
    <xf numFmtId="3" fontId="51" fillId="0" borderId="0" xfId="0" applyNumberFormat="1" applyFont="1" applyFill="1"/>
    <xf numFmtId="3" fontId="52" fillId="0" borderId="0" xfId="0" applyNumberFormat="1" applyFont="1" applyFill="1"/>
    <xf numFmtId="0" fontId="54" fillId="31" borderId="0" xfId="0" applyFont="1" applyFill="1" applyAlignment="1">
      <alignment horizontal="center"/>
    </xf>
    <xf numFmtId="3" fontId="55" fillId="0" borderId="0" xfId="0" applyNumberFormat="1" applyFont="1" applyFill="1"/>
    <xf numFmtId="3" fontId="67" fillId="0" borderId="0" xfId="0" applyNumberFormat="1" applyFont="1" applyFill="1"/>
    <xf numFmtId="3" fontId="67" fillId="0" borderId="0" xfId="0" applyNumberFormat="1" applyFont="1"/>
    <xf numFmtId="3" fontId="65" fillId="0" borderId="0" xfId="0" applyNumberFormat="1" applyFont="1" applyFill="1"/>
    <xf numFmtId="167" fontId="58" fillId="0" borderId="0" xfId="56" applyNumberFormat="1" applyFont="1" applyFill="1"/>
    <xf numFmtId="167" fontId="59" fillId="0" borderId="0" xfId="56" applyNumberFormat="1" applyFont="1" applyFill="1"/>
    <xf numFmtId="3" fontId="67" fillId="0" borderId="16" xfId="0" applyNumberFormat="1" applyFont="1" applyFill="1" applyBorder="1"/>
    <xf numFmtId="3" fontId="67" fillId="0" borderId="16" xfId="0" applyNumberFormat="1" applyFont="1" applyBorder="1"/>
    <xf numFmtId="3" fontId="52" fillId="0" borderId="0" xfId="0" applyNumberFormat="1" applyFont="1" applyFill="1" applyBorder="1"/>
    <xf numFmtId="0" fontId="64" fillId="32" borderId="0" xfId="0" applyFont="1" applyFill="1" applyBorder="1" applyAlignment="1">
      <alignment horizontal="center"/>
    </xf>
    <xf numFmtId="3" fontId="65" fillId="0" borderId="0" xfId="0" applyNumberFormat="1" applyFont="1" applyFill="1" applyBorder="1" applyAlignment="1">
      <alignment horizontal="right"/>
    </xf>
    <xf numFmtId="0" fontId="65" fillId="0" borderId="0" xfId="0" applyFont="1" applyBorder="1"/>
    <xf numFmtId="0" fontId="59" fillId="0" borderId="0" xfId="0" applyFont="1" applyBorder="1"/>
    <xf numFmtId="3" fontId="51" fillId="0" borderId="0" xfId="0" applyNumberFormat="1" applyFont="1" applyBorder="1"/>
    <xf numFmtId="3" fontId="52" fillId="0" borderId="0" xfId="0" applyNumberFormat="1" applyFont="1" applyFill="1" applyBorder="1" applyAlignment="1">
      <alignment horizontal="right"/>
    </xf>
    <xf numFmtId="3" fontId="52" fillId="0" borderId="0" xfId="0" applyNumberFormat="1" applyFont="1" applyBorder="1"/>
    <xf numFmtId="0" fontId="51" fillId="28" borderId="0" xfId="0" applyFont="1" applyFill="1" applyBorder="1"/>
    <xf numFmtId="3" fontId="51" fillId="0" borderId="0" xfId="0" applyNumberFormat="1" applyFont="1" applyFill="1" applyBorder="1" applyAlignment="1">
      <alignment horizontal="right"/>
    </xf>
    <xf numFmtId="0" fontId="51" fillId="31" borderId="0" xfId="0" applyFont="1" applyFill="1" applyBorder="1"/>
    <xf numFmtId="0" fontId="52" fillId="0" borderId="0" xfId="0" applyFont="1" applyBorder="1"/>
    <xf numFmtId="0" fontId="51" fillId="27" borderId="0" xfId="0" applyFont="1" applyFill="1" applyBorder="1"/>
    <xf numFmtId="176" fontId="58" fillId="0" borderId="0" xfId="0" applyNumberFormat="1" applyFont="1" applyAlignment="1">
      <alignment horizontal="center"/>
    </xf>
    <xf numFmtId="0" fontId="51" fillId="0" borderId="0" xfId="0" applyFont="1" applyBorder="1"/>
    <xf numFmtId="167" fontId="66" fillId="0" borderId="0" xfId="56" applyNumberFormat="1" applyFont="1" applyBorder="1"/>
    <xf numFmtId="167" fontId="51" fillId="0" borderId="0" xfId="56" applyNumberFormat="1" applyFont="1" applyBorder="1"/>
    <xf numFmtId="167" fontId="52" fillId="0" borderId="0" xfId="56" applyNumberFormat="1" applyFont="1"/>
    <xf numFmtId="0" fontId="52" fillId="0" borderId="0" xfId="0" applyFont="1" applyFill="1" applyBorder="1"/>
    <xf numFmtId="0" fontId="52" fillId="0" borderId="0" xfId="0" applyFont="1" applyFill="1"/>
    <xf numFmtId="2" fontId="52" fillId="0" borderId="0" xfId="0" applyNumberFormat="1" applyFont="1" applyAlignment="1">
      <alignment horizontal="center"/>
    </xf>
    <xf numFmtId="0" fontId="51" fillId="0" borderId="0" xfId="0" applyFont="1" applyFill="1"/>
    <xf numFmtId="3" fontId="51" fillId="0" borderId="0" xfId="0" applyNumberFormat="1" applyFont="1" applyFill="1" applyBorder="1"/>
    <xf numFmtId="167" fontId="51" fillId="0" borderId="0" xfId="56" applyNumberFormat="1" applyFont="1" applyFill="1" applyBorder="1" applyAlignment="1">
      <alignment horizontal="center"/>
    </xf>
    <xf numFmtId="9" fontId="51" fillId="0" borderId="0" xfId="56" applyFont="1" applyFill="1" applyBorder="1"/>
    <xf numFmtId="3" fontId="52" fillId="0" borderId="0" xfId="42" applyNumberFormat="1" applyFont="1" applyFill="1"/>
    <xf numFmtId="166" fontId="52" fillId="0" borderId="0" xfId="42" applyFont="1" applyFill="1"/>
    <xf numFmtId="0" fontId="51" fillId="30" borderId="58" xfId="0" applyFont="1" applyFill="1" applyBorder="1" applyAlignment="1">
      <alignment horizontal="center"/>
    </xf>
    <xf numFmtId="0" fontId="52" fillId="30" borderId="14" xfId="0" applyFont="1" applyFill="1" applyBorder="1"/>
    <xf numFmtId="0" fontId="52" fillId="30" borderId="40" xfId="0" applyFont="1" applyFill="1" applyBorder="1"/>
    <xf numFmtId="167" fontId="52" fillId="0" borderId="0" xfId="56" applyNumberFormat="1" applyFont="1" applyAlignment="1">
      <alignment horizontal="center"/>
    </xf>
    <xf numFmtId="9" fontId="52" fillId="0" borderId="0" xfId="56" applyNumberFormat="1" applyFont="1" applyAlignment="1">
      <alignment horizontal="center"/>
    </xf>
    <xf numFmtId="3" fontId="52" fillId="30" borderId="40" xfId="0" applyNumberFormat="1" applyFont="1" applyFill="1" applyBorder="1" applyAlignment="1">
      <alignment horizontal="center"/>
    </xf>
    <xf numFmtId="0" fontId="52" fillId="30" borderId="14" xfId="0" applyFont="1" applyFill="1" applyBorder="1" applyAlignment="1">
      <alignment horizontal="left"/>
    </xf>
    <xf numFmtId="0" fontId="51" fillId="30" borderId="21" xfId="0" applyFont="1" applyFill="1" applyBorder="1"/>
    <xf numFmtId="3" fontId="51" fillId="30" borderId="42" xfId="0" applyNumberFormat="1" applyFont="1" applyFill="1" applyBorder="1" applyAlignment="1">
      <alignment horizontal="center"/>
    </xf>
    <xf numFmtId="0" fontId="52" fillId="30" borderId="15" xfId="0" applyFont="1" applyFill="1" applyBorder="1"/>
    <xf numFmtId="2" fontId="52" fillId="30" borderId="38" xfId="0" applyNumberFormat="1" applyFont="1" applyFill="1" applyBorder="1" applyAlignment="1">
      <alignment horizontal="center"/>
    </xf>
    <xf numFmtId="10" fontId="52" fillId="0" borderId="0" xfId="56" applyNumberFormat="1" applyFont="1" applyAlignment="1">
      <alignment horizontal="center"/>
    </xf>
    <xf numFmtId="0" fontId="69" fillId="0" borderId="0" xfId="0" applyFont="1"/>
    <xf numFmtId="3" fontId="59" fillId="0" borderId="0" xfId="0" applyNumberFormat="1" applyFont="1" applyFill="1" applyBorder="1" applyAlignment="1">
      <alignment horizontal="right"/>
    </xf>
    <xf numFmtId="0" fontId="54" fillId="0" borderId="0" xfId="0" applyFont="1" applyBorder="1"/>
    <xf numFmtId="3" fontId="55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/>
    <xf numFmtId="3" fontId="55" fillId="0" borderId="0" xfId="0" applyNumberFormat="1" applyFont="1" applyBorder="1"/>
    <xf numFmtId="0" fontId="55" fillId="0" borderId="0" xfId="0" applyFont="1" applyBorder="1"/>
    <xf numFmtId="0" fontId="68" fillId="0" borderId="0" xfId="0" applyFont="1" applyBorder="1"/>
    <xf numFmtId="0" fontId="69" fillId="0" borderId="0" xfId="0" applyFont="1" applyBorder="1"/>
    <xf numFmtId="0" fontId="51" fillId="0" borderId="0" xfId="0" applyFont="1" applyFill="1" applyBorder="1"/>
    <xf numFmtId="0" fontId="51" fillId="0" borderId="11" xfId="0" applyFont="1" applyFill="1" applyBorder="1" applyAlignment="1">
      <alignment horizontal="center" vertical="center" wrapText="1" shrinkToFit="1"/>
    </xf>
    <xf numFmtId="0" fontId="71" fillId="0" borderId="0" xfId="0" applyFont="1"/>
    <xf numFmtId="0" fontId="69" fillId="30" borderId="59" xfId="0" applyFont="1" applyFill="1" applyBorder="1"/>
    <xf numFmtId="4" fontId="52" fillId="0" borderId="0" xfId="0" applyNumberFormat="1" applyFont="1" applyFill="1" applyBorder="1"/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right"/>
    </xf>
    <xf numFmtId="0" fontId="53" fillId="0" borderId="0" xfId="0" applyFont="1"/>
    <xf numFmtId="3" fontId="7" fillId="0" borderId="6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9" fontId="2" fillId="30" borderId="11" xfId="56" applyFont="1" applyFill="1" applyBorder="1" applyAlignment="1">
      <alignment horizontal="center"/>
    </xf>
    <xf numFmtId="0" fontId="72" fillId="0" borderId="0" xfId="0" applyFont="1"/>
    <xf numFmtId="0" fontId="73" fillId="33" borderId="51" xfId="0" applyFont="1" applyFill="1" applyBorder="1"/>
    <xf numFmtId="0" fontId="73" fillId="33" borderId="11" xfId="0" applyFont="1" applyFill="1" applyBorder="1" applyAlignment="1">
      <alignment horizontal="center"/>
    </xf>
    <xf numFmtId="0" fontId="2" fillId="0" borderId="29" xfId="0" applyFont="1" applyBorder="1"/>
    <xf numFmtId="3" fontId="8" fillId="0" borderId="12" xfId="0" applyNumberFormat="1" applyFont="1" applyBorder="1"/>
    <xf numFmtId="0" fontId="3" fillId="0" borderId="29" xfId="0" applyFont="1" applyBorder="1"/>
    <xf numFmtId="0" fontId="15" fillId="0" borderId="0" xfId="0" applyFont="1" applyBorder="1"/>
    <xf numFmtId="3" fontId="74" fillId="0" borderId="12" xfId="0" applyNumberFormat="1" applyFont="1" applyBorder="1"/>
    <xf numFmtId="3" fontId="74" fillId="0" borderId="0" xfId="0" applyNumberFormat="1" applyFont="1" applyBorder="1"/>
    <xf numFmtId="3" fontId="7" fillId="0" borderId="12" xfId="0" applyNumberFormat="1" applyFont="1" applyBorder="1"/>
    <xf numFmtId="0" fontId="75" fillId="33" borderId="11" xfId="0" applyFont="1" applyFill="1" applyBorder="1"/>
    <xf numFmtId="3" fontId="73" fillId="33" borderId="11" xfId="0" applyNumberFormat="1" applyFont="1" applyFill="1" applyBorder="1"/>
    <xf numFmtId="3" fontId="8" fillId="0" borderId="5" xfId="0" applyNumberFormat="1" applyFont="1" applyBorder="1"/>
    <xf numFmtId="0" fontId="73" fillId="33" borderId="61" xfId="0" applyFont="1" applyFill="1" applyBorder="1" applyAlignment="1">
      <alignment horizontal="center"/>
    </xf>
    <xf numFmtId="0" fontId="0" fillId="0" borderId="29" xfId="0" applyBorder="1"/>
    <xf numFmtId="0" fontId="76" fillId="0" borderId="0" xfId="0" applyFont="1" applyBorder="1"/>
    <xf numFmtId="3" fontId="77" fillId="0" borderId="12" xfId="0" applyNumberFormat="1" applyFont="1" applyBorder="1"/>
    <xf numFmtId="0" fontId="78" fillId="0" borderId="0" xfId="0" applyFont="1" applyBorder="1"/>
    <xf numFmtId="3" fontId="8" fillId="0" borderId="12" xfId="49" applyNumberFormat="1" applyFont="1" applyBorder="1" applyAlignment="1">
      <alignment horizontal="right"/>
    </xf>
    <xf numFmtId="4" fontId="0" fillId="0" borderId="29" xfId="0" applyNumberFormat="1" applyBorder="1"/>
    <xf numFmtId="0" fontId="79" fillId="0" borderId="0" xfId="0" applyNumberFormat="1" applyFont="1" applyFill="1" applyBorder="1" applyAlignment="1" applyProtection="1"/>
    <xf numFmtId="4" fontId="0" fillId="0" borderId="29" xfId="0" applyNumberFormat="1" applyFill="1" applyBorder="1"/>
    <xf numFmtId="4" fontId="78" fillId="0" borderId="0" xfId="0" applyNumberFormat="1" applyFont="1" applyBorder="1"/>
    <xf numFmtId="3" fontId="8" fillId="0" borderId="12" xfId="49" applyNumberFormat="1" applyFont="1" applyBorder="1"/>
    <xf numFmtId="4" fontId="80" fillId="0" borderId="0" xfId="0" applyNumberFormat="1" applyFont="1" applyBorder="1"/>
    <xf numFmtId="3" fontId="81" fillId="0" borderId="12" xfId="49" applyNumberFormat="1" applyFont="1" applyBorder="1"/>
    <xf numFmtId="3" fontId="81" fillId="0" borderId="12" xfId="0" applyNumberFormat="1" applyFont="1" applyBorder="1"/>
    <xf numFmtId="3" fontId="82" fillId="0" borderId="12" xfId="0" applyNumberFormat="1" applyFont="1" applyFill="1" applyBorder="1"/>
    <xf numFmtId="0" fontId="75" fillId="33" borderId="29" xfId="0" applyFont="1" applyFill="1" applyBorder="1"/>
    <xf numFmtId="3" fontId="73" fillId="33" borderId="12" xfId="0" applyNumberFormat="1" applyFont="1" applyFill="1" applyBorder="1"/>
    <xf numFmtId="4" fontId="0" fillId="0" borderId="51" xfId="0" applyNumberFormat="1" applyBorder="1"/>
    <xf numFmtId="3" fontId="83" fillId="0" borderId="60" xfId="0" applyNumberFormat="1" applyFont="1" applyFill="1" applyBorder="1"/>
    <xf numFmtId="3" fontId="83" fillId="0" borderId="53" xfId="0" applyNumberFormat="1" applyFont="1" applyFill="1" applyBorder="1"/>
    <xf numFmtId="3" fontId="8" fillId="0" borderId="5" xfId="0" applyNumberFormat="1" applyFont="1" applyFill="1" applyBorder="1"/>
    <xf numFmtId="3" fontId="7" fillId="0" borderId="5" xfId="0" applyNumberFormat="1" applyFont="1" applyBorder="1"/>
    <xf numFmtId="4" fontId="79" fillId="0" borderId="12" xfId="0" applyNumberFormat="1" applyFont="1" applyFill="1" applyBorder="1" applyAlignment="1" applyProtection="1"/>
    <xf numFmtId="3" fontId="83" fillId="0" borderId="12" xfId="0" applyNumberFormat="1" applyFont="1" applyFill="1" applyBorder="1"/>
    <xf numFmtId="3" fontId="83" fillId="0" borderId="5" xfId="0" applyNumberFormat="1" applyFont="1" applyFill="1" applyBorder="1"/>
    <xf numFmtId="3" fontId="81" fillId="0" borderId="12" xfId="49" applyNumberFormat="1" applyFont="1" applyFill="1" applyBorder="1"/>
    <xf numFmtId="3" fontId="81" fillId="0" borderId="12" xfId="0" applyNumberFormat="1" applyFont="1" applyFill="1" applyBorder="1"/>
    <xf numFmtId="4" fontId="2" fillId="0" borderId="54" xfId="0" applyNumberFormat="1" applyFont="1" applyFill="1" applyBorder="1" applyAlignment="1">
      <alignment horizontal="center"/>
    </xf>
    <xf numFmtId="4" fontId="2" fillId="0" borderId="55" xfId="0" applyNumberFormat="1" applyFont="1" applyFill="1" applyBorder="1" applyAlignment="1">
      <alignment horizontal="center"/>
    </xf>
    <xf numFmtId="4" fontId="2" fillId="0" borderId="62" xfId="0" applyNumberFormat="1" applyFont="1" applyFill="1" applyBorder="1" applyAlignment="1">
      <alignment horizontal="center"/>
    </xf>
    <xf numFmtId="4" fontId="2" fillId="0" borderId="56" xfId="0" applyNumberFormat="1" applyFont="1" applyFill="1" applyBorder="1" applyAlignment="1">
      <alignment horizontal="center"/>
    </xf>
    <xf numFmtId="0" fontId="73" fillId="33" borderId="0" xfId="0" applyFont="1" applyFill="1" applyBorder="1"/>
    <xf numFmtId="3" fontId="73" fillId="33" borderId="60" xfId="0" applyNumberFormat="1" applyFont="1" applyFill="1" applyBorder="1"/>
    <xf numFmtId="3" fontId="73" fillId="33" borderId="0" xfId="0" applyNumberFormat="1" applyFont="1" applyFill="1" applyBorder="1"/>
    <xf numFmtId="4" fontId="2" fillId="0" borderId="29" xfId="0" applyNumberFormat="1" applyFont="1" applyFill="1" applyBorder="1" applyAlignment="1">
      <alignment horizontal="center"/>
    </xf>
    <xf numFmtId="4" fontId="9" fillId="0" borderId="29" xfId="0" applyNumberFormat="1" applyFont="1" applyBorder="1"/>
    <xf numFmtId="4" fontId="9" fillId="0" borderId="29" xfId="0" applyNumberFormat="1" applyFont="1" applyFill="1" applyBorder="1"/>
    <xf numFmtId="4" fontId="9" fillId="0" borderId="0" xfId="0" applyNumberFormat="1" applyFont="1" applyFill="1" applyBorder="1" applyAlignment="1">
      <alignment horizontal="right"/>
    </xf>
    <xf numFmtId="0" fontId="0" fillId="0" borderId="12" xfId="0" applyBorder="1"/>
    <xf numFmtId="0" fontId="73" fillId="33" borderId="29" xfId="0" applyFont="1" applyFill="1" applyBorder="1"/>
    <xf numFmtId="0" fontId="86" fillId="33" borderId="54" xfId="0" applyFont="1" applyFill="1" applyBorder="1"/>
    <xf numFmtId="0" fontId="87" fillId="33" borderId="55" xfId="0" applyFont="1" applyFill="1" applyBorder="1" applyAlignment="1">
      <alignment horizontal="center"/>
    </xf>
    <xf numFmtId="3" fontId="87" fillId="33" borderId="62" xfId="0" applyNumberFormat="1" applyFont="1" applyFill="1" applyBorder="1"/>
    <xf numFmtId="3" fontId="87" fillId="33" borderId="55" xfId="0" applyNumberFormat="1" applyFont="1" applyFill="1" applyBorder="1"/>
    <xf numFmtId="3" fontId="0" fillId="0" borderId="0" xfId="0" applyNumberFormat="1" applyBorder="1"/>
    <xf numFmtId="4" fontId="0" fillId="0" borderId="0" xfId="0" applyNumberFormat="1" applyBorder="1"/>
    <xf numFmtId="4" fontId="88" fillId="0" borderId="0" xfId="0" applyNumberFormat="1" applyFont="1" applyFill="1" applyBorder="1"/>
    <xf numFmtId="4" fontId="82" fillId="0" borderId="0" xfId="0" applyNumberFormat="1" applyFont="1" applyFill="1" applyBorder="1"/>
    <xf numFmtId="4" fontId="89" fillId="0" borderId="0" xfId="0" applyNumberFormat="1" applyFont="1" applyFill="1" applyBorder="1"/>
    <xf numFmtId="0" fontId="90" fillId="0" borderId="0" xfId="0" applyFont="1" applyBorder="1"/>
    <xf numFmtId="4" fontId="91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0" fontId="25" fillId="0" borderId="0" xfId="0" applyFont="1" applyBorder="1" applyAlignment="1">
      <alignment horizontal="left" indent="1"/>
    </xf>
    <xf numFmtId="0" fontId="0" fillId="0" borderId="0" xfId="0" applyBorder="1" applyAlignment="1">
      <alignment horizontal="left" wrapText="1"/>
    </xf>
    <xf numFmtId="4" fontId="0" fillId="0" borderId="0" xfId="0" applyNumberFormat="1" applyBorder="1" applyAlignment="1">
      <alignment horizontal="left" indent="1"/>
    </xf>
    <xf numFmtId="0" fontId="92" fillId="0" borderId="0" xfId="0" applyFont="1" applyAlignment="1">
      <alignment horizontal="right"/>
    </xf>
    <xf numFmtId="0" fontId="0" fillId="0" borderId="0" xfId="0" applyBorder="1" applyAlignment="1">
      <alignment horizontal="left" indent="1"/>
    </xf>
    <xf numFmtId="0" fontId="3" fillId="0" borderId="0" xfId="0" applyFont="1" applyAlignment="1"/>
    <xf numFmtId="4" fontId="0" fillId="0" borderId="0" xfId="0" applyNumberFormat="1"/>
    <xf numFmtId="0" fontId="0" fillId="34" borderId="0" xfId="0" applyFill="1"/>
    <xf numFmtId="4" fontId="3" fillId="0" borderId="0" xfId="0" applyNumberFormat="1" applyFont="1" applyBorder="1" applyAlignment="1"/>
    <xf numFmtId="167" fontId="1" fillId="0" borderId="11" xfId="56" applyNumberFormat="1" applyBorder="1" applyAlignment="1">
      <alignment horizontal="center"/>
    </xf>
    <xf numFmtId="167" fontId="2" fillId="0" borderId="11" xfId="56" applyNumberFormat="1" applyFont="1" applyBorder="1" applyAlignment="1">
      <alignment horizontal="center" wrapText="1"/>
    </xf>
    <xf numFmtId="9" fontId="3" fillId="0" borderId="0" xfId="56" applyFont="1" applyAlignment="1"/>
    <xf numFmtId="0" fontId="3" fillId="34" borderId="0" xfId="0" applyFont="1" applyFill="1" applyAlignment="1"/>
    <xf numFmtId="3" fontId="2" fillId="0" borderId="0" xfId="0" applyNumberFormat="1" applyFont="1" applyAlignment="1"/>
    <xf numFmtId="4" fontId="0" fillId="0" borderId="0" xfId="0" applyNumberFormat="1" applyBorder="1" applyAlignment="1"/>
    <xf numFmtId="3" fontId="92" fillId="0" borderId="0" xfId="0" applyNumberFormat="1" applyFont="1" applyAlignment="1">
      <alignment horizontal="right"/>
    </xf>
    <xf numFmtId="4" fontId="92" fillId="0" borderId="0" xfId="0" applyNumberFormat="1" applyFont="1" applyAlignment="1">
      <alignment horizontal="right"/>
    </xf>
    <xf numFmtId="173" fontId="0" fillId="0" borderId="0" xfId="0" applyNumberFormat="1" applyFill="1"/>
    <xf numFmtId="168" fontId="10" fillId="0" borderId="0" xfId="44" applyNumberFormat="1" applyFont="1" applyFill="1" applyAlignment="1">
      <alignment horizontal="left"/>
    </xf>
    <xf numFmtId="178" fontId="10" fillId="0" borderId="0" xfId="44" applyNumberFormat="1" applyFont="1" applyFill="1"/>
    <xf numFmtId="168" fontId="80" fillId="0" borderId="0" xfId="44" applyNumberFormat="1" applyFont="1" applyFill="1"/>
    <xf numFmtId="168" fontId="10" fillId="0" borderId="0" xfId="44" applyNumberFormat="1" applyFont="1" applyFill="1"/>
    <xf numFmtId="0" fontId="2" fillId="0" borderId="41" xfId="0" applyFont="1" applyBorder="1"/>
    <xf numFmtId="168" fontId="80" fillId="0" borderId="0" xfId="44" applyNumberFormat="1" applyFont="1" applyFill="1" applyAlignment="1">
      <alignment horizontal="right"/>
    </xf>
    <xf numFmtId="0" fontId="2" fillId="0" borderId="41" xfId="0" applyFont="1" applyFill="1" applyBorder="1" applyAlignment="1">
      <alignment horizontal="left" vertical="center"/>
    </xf>
    <xf numFmtId="173" fontId="3" fillId="0" borderId="0" xfId="0" applyNumberFormat="1" applyFont="1" applyFill="1"/>
    <xf numFmtId="0" fontId="2" fillId="0" borderId="0" xfId="0" applyFont="1" applyFill="1" applyAlignment="1">
      <alignment horizontal="center" vertical="center" textRotation="90"/>
    </xf>
    <xf numFmtId="0" fontId="2" fillId="0" borderId="63" xfId="0" applyFont="1" applyBorder="1"/>
    <xf numFmtId="173" fontId="2" fillId="0" borderId="63" xfId="0" applyNumberFormat="1" applyFont="1" applyFill="1" applyBorder="1"/>
    <xf numFmtId="173" fontId="2" fillId="0" borderId="0" xfId="0" applyNumberFormat="1" applyFont="1"/>
    <xf numFmtId="0" fontId="2" fillId="29" borderId="15" xfId="0" applyFont="1" applyFill="1" applyBorder="1"/>
    <xf numFmtId="0" fontId="0" fillId="29" borderId="41" xfId="0" applyFill="1" applyBorder="1"/>
    <xf numFmtId="0" fontId="2" fillId="29" borderId="38" xfId="0" applyFont="1" applyFill="1" applyBorder="1" applyAlignment="1">
      <alignment horizontal="center"/>
    </xf>
    <xf numFmtId="168" fontId="2" fillId="0" borderId="0" xfId="0" applyNumberFormat="1" applyFont="1" applyFill="1"/>
    <xf numFmtId="173" fontId="0" fillId="0" borderId="0" xfId="0" applyNumberFormat="1" applyFill="1" applyAlignment="1">
      <alignment horizontal="center"/>
    </xf>
    <xf numFmtId="165" fontId="0" fillId="0" borderId="0" xfId="0" applyNumberFormat="1" applyFill="1"/>
    <xf numFmtId="173" fontId="2" fillId="0" borderId="0" xfId="0" applyNumberFormat="1" applyFont="1" applyFill="1" applyAlignment="1">
      <alignment horizontal="center"/>
    </xf>
    <xf numFmtId="0" fontId="8" fillId="0" borderId="15" xfId="0" applyFont="1" applyFill="1" applyBorder="1"/>
    <xf numFmtId="0" fontId="23" fillId="0" borderId="41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0" fontId="23" fillId="0" borderId="14" xfId="0" applyFont="1" applyFill="1" applyBorder="1"/>
    <xf numFmtId="0" fontId="24" fillId="0" borderId="0" xfId="0" applyFont="1" applyFill="1" applyBorder="1"/>
    <xf numFmtId="0" fontId="24" fillId="0" borderId="40" xfId="0" applyFont="1" applyFill="1" applyBorder="1"/>
    <xf numFmtId="0" fontId="24" fillId="0" borderId="14" xfId="0" applyFont="1" applyFill="1" applyBorder="1"/>
    <xf numFmtId="174" fontId="8" fillId="0" borderId="0" xfId="0" applyNumberFormat="1" applyFont="1" applyFill="1" applyBorder="1"/>
    <xf numFmtId="174" fontId="24" fillId="0" borderId="0" xfId="0" applyNumberFormat="1" applyFont="1" applyFill="1" applyBorder="1"/>
    <xf numFmtId="174" fontId="23" fillId="0" borderId="40" xfId="0" applyNumberFormat="1" applyFont="1" applyFill="1" applyBorder="1"/>
    <xf numFmtId="0" fontId="93" fillId="0" borderId="14" xfId="0" applyFont="1" applyFill="1" applyBorder="1"/>
    <xf numFmtId="174" fontId="24" fillId="0" borderId="40" xfId="0" applyNumberFormat="1" applyFont="1" applyFill="1" applyBorder="1"/>
    <xf numFmtId="174" fontId="8" fillId="0" borderId="40" xfId="0" applyNumberFormat="1" applyFont="1" applyFill="1" applyBorder="1"/>
    <xf numFmtId="174" fontId="8" fillId="0" borderId="0" xfId="0" applyNumberFormat="1" applyFont="1" applyFill="1" applyBorder="1" applyAlignment="1">
      <alignment horizontal="right"/>
    </xf>
    <xf numFmtId="174" fontId="24" fillId="0" borderId="0" xfId="0" applyNumberFormat="1" applyFont="1" applyFill="1" applyBorder="1" applyAlignment="1">
      <alignment horizontal="right"/>
    </xf>
    <xf numFmtId="0" fontId="23" fillId="0" borderId="15" xfId="0" applyFont="1" applyFill="1" applyBorder="1"/>
    <xf numFmtId="182" fontId="8" fillId="0" borderId="41" xfId="0" applyNumberFormat="1" applyFont="1" applyFill="1" applyBorder="1"/>
    <xf numFmtId="182" fontId="8" fillId="0" borderId="38" xfId="0" applyNumberFormat="1" applyFont="1" applyFill="1" applyBorder="1"/>
    <xf numFmtId="2" fontId="0" fillId="0" borderId="0" xfId="0" applyNumberFormat="1" applyFill="1"/>
    <xf numFmtId="183" fontId="0" fillId="0" borderId="0" xfId="0" applyNumberFormat="1" applyFill="1"/>
    <xf numFmtId="182" fontId="0" fillId="0" borderId="0" xfId="0" applyNumberFormat="1" applyFill="1"/>
    <xf numFmtId="0" fontId="94" fillId="0" borderId="0" xfId="0" applyFont="1"/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/>
    </xf>
    <xf numFmtId="179" fontId="7" fillId="0" borderId="11" xfId="43" applyNumberFormat="1" applyFont="1" applyFill="1" applyBorder="1"/>
    <xf numFmtId="1" fontId="7" fillId="0" borderId="11" xfId="0" applyNumberFormat="1" applyFont="1" applyFill="1" applyBorder="1" applyAlignment="1">
      <alignment horizontal="center"/>
    </xf>
    <xf numFmtId="179" fontId="8" fillId="0" borderId="11" xfId="0" applyNumberFormat="1" applyFont="1" applyFill="1" applyBorder="1"/>
    <xf numFmtId="167" fontId="7" fillId="0" borderId="11" xfId="56" applyNumberFormat="1" applyFont="1" applyFill="1" applyBorder="1" applyAlignment="1">
      <alignment horizontal="center"/>
    </xf>
    <xf numFmtId="177" fontId="0" fillId="0" borderId="0" xfId="0" applyNumberFormat="1" applyFill="1"/>
    <xf numFmtId="0" fontId="0" fillId="0" borderId="0" xfId="0" applyNumberFormat="1" applyFill="1"/>
    <xf numFmtId="4" fontId="0" fillId="0" borderId="0" xfId="0" applyNumberFormat="1" applyFill="1" applyBorder="1" applyAlignment="1">
      <alignment horizontal="left" indent="1"/>
    </xf>
    <xf numFmtId="4" fontId="2" fillId="0" borderId="0" xfId="0" applyNumberFormat="1" applyFont="1" applyFill="1" applyBorder="1" applyAlignment="1"/>
    <xf numFmtId="167" fontId="2" fillId="0" borderId="0" xfId="56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left" inden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/>
    <xf numFmtId="0" fontId="24" fillId="0" borderId="11" xfId="0" applyFont="1" applyBorder="1" applyAlignment="1">
      <alignment horizontal="center"/>
    </xf>
    <xf numFmtId="3" fontId="24" fillId="0" borderId="11" xfId="0" applyNumberFormat="1" applyFont="1" applyBorder="1"/>
    <xf numFmtId="10" fontId="24" fillId="0" borderId="11" xfId="56" applyNumberFormat="1" applyFont="1" applyFill="1" applyBorder="1" applyAlignment="1">
      <alignment horizontal="center"/>
    </xf>
    <xf numFmtId="167" fontId="24" fillId="0" borderId="11" xfId="56" applyNumberFormat="1" applyFont="1" applyBorder="1" applyAlignment="1">
      <alignment horizontal="center"/>
    </xf>
    <xf numFmtId="0" fontId="23" fillId="0" borderId="11" xfId="0" applyFont="1" applyBorder="1"/>
    <xf numFmtId="0" fontId="24" fillId="0" borderId="11" xfId="0" applyFont="1" applyFill="1" applyBorder="1"/>
    <xf numFmtId="10" fontId="24" fillId="0" borderId="11" xfId="56" applyNumberFormat="1" applyFont="1" applyBorder="1" applyAlignment="1">
      <alignment horizontal="center"/>
    </xf>
    <xf numFmtId="0" fontId="23" fillId="0" borderId="11" xfId="0" applyFont="1" applyFill="1" applyBorder="1" applyAlignment="1">
      <alignment horizontal="center" vertical="center" wrapText="1"/>
    </xf>
    <xf numFmtId="0" fontId="24" fillId="35" borderId="11" xfId="0" applyFont="1" applyFill="1" applyBorder="1"/>
    <xf numFmtId="10" fontId="8" fillId="35" borderId="11" xfId="56" applyNumberFormat="1" applyFont="1" applyFill="1" applyBorder="1" applyAlignment="1">
      <alignment horizontal="center"/>
    </xf>
    <xf numFmtId="10" fontId="24" fillId="30" borderId="11" xfId="56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26" borderId="11" xfId="0" applyFont="1" applyFill="1" applyBorder="1" applyAlignment="1">
      <alignment horizontal="center" vertical="top" wrapText="1"/>
    </xf>
    <xf numFmtId="3" fontId="2" fillId="0" borderId="11" xfId="0" applyNumberFormat="1" applyFont="1" applyBorder="1" applyAlignment="1">
      <alignment horizontal="center" vertical="top" wrapText="1"/>
    </xf>
    <xf numFmtId="3" fontId="2" fillId="0" borderId="11" xfId="0" applyNumberFormat="1" applyFont="1" applyBorder="1" applyAlignment="1"/>
    <xf numFmtId="3" fontId="3" fillId="0" borderId="11" xfId="0" applyNumberFormat="1" applyFont="1" applyBorder="1" applyAlignment="1">
      <alignment horizontal="left" vertical="top" wrapText="1"/>
    </xf>
    <xf numFmtId="3" fontId="3" fillId="0" borderId="11" xfId="46" applyNumberFormat="1" applyFont="1" applyBorder="1" applyAlignment="1">
      <alignment wrapText="1"/>
    </xf>
    <xf numFmtId="3" fontId="3" fillId="0" borderId="11" xfId="0" applyNumberFormat="1" applyFont="1" applyBorder="1" applyAlignment="1">
      <alignment horizontal="right"/>
    </xf>
    <xf numFmtId="3" fontId="3" fillId="0" borderId="11" xfId="46" applyNumberFormat="1" applyFont="1" applyBorder="1" applyAlignment="1">
      <alignment horizontal="right" wrapText="1"/>
    </xf>
    <xf numFmtId="3" fontId="3" fillId="0" borderId="11" xfId="0" applyNumberFormat="1" applyFont="1" applyFill="1" applyBorder="1" applyAlignment="1">
      <alignment horizontal="left" vertical="top" wrapText="1"/>
    </xf>
    <xf numFmtId="3" fontId="3" fillId="0" borderId="11" xfId="46" applyNumberFormat="1" applyFont="1" applyFill="1" applyBorder="1" applyAlignment="1">
      <alignment wrapText="1"/>
    </xf>
    <xf numFmtId="3" fontId="3" fillId="0" borderId="11" xfId="0" applyNumberFormat="1" applyFont="1" applyBorder="1" applyAlignment="1">
      <alignment horizontal="justify" vertical="top" wrapText="1"/>
    </xf>
    <xf numFmtId="3" fontId="3" fillId="0" borderId="11" xfId="0" applyNumberFormat="1" applyFont="1" applyFill="1" applyBorder="1" applyAlignment="1">
      <alignment horizontal="justify" vertical="top" wrapText="1"/>
    </xf>
    <xf numFmtId="3" fontId="3" fillId="0" borderId="11" xfId="0" applyNumberFormat="1" applyFont="1" applyFill="1" applyBorder="1" applyAlignment="1"/>
    <xf numFmtId="3" fontId="0" fillId="0" borderId="11" xfId="0" applyNumberFormat="1" applyFill="1" applyBorder="1" applyAlignment="1">
      <alignment horizontal="left" wrapText="1"/>
    </xf>
    <xf numFmtId="3" fontId="3" fillId="0" borderId="11" xfId="0" applyNumberFormat="1" applyFont="1" applyBorder="1" applyAlignment="1">
      <alignment vertical="top" wrapText="1"/>
    </xf>
    <xf numFmtId="3" fontId="3" fillId="0" borderId="11" xfId="0" applyNumberFormat="1" applyFont="1" applyFill="1" applyBorder="1" applyAlignment="1">
      <alignment vertical="top" wrapText="1"/>
    </xf>
    <xf numFmtId="3" fontId="3" fillId="0" borderId="11" xfId="0" applyNumberFormat="1" applyFont="1" applyBorder="1" applyAlignment="1">
      <alignment horizontal="justify"/>
    </xf>
    <xf numFmtId="3" fontId="2" fillId="29" borderId="11" xfId="0" applyNumberFormat="1" applyFont="1" applyFill="1" applyBorder="1" applyAlignment="1">
      <alignment horizontal="center"/>
    </xf>
    <xf numFmtId="0" fontId="2" fillId="26" borderId="11" xfId="0" applyFont="1" applyFill="1" applyBorder="1" applyAlignment="1">
      <alignment horizontal="center" vertical="center" wrapText="1"/>
    </xf>
    <xf numFmtId="3" fontId="2" fillId="26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top" wrapText="1"/>
    </xf>
    <xf numFmtId="0" fontId="3" fillId="0" borderId="11" xfId="0" applyFont="1" applyBorder="1" applyAlignment="1"/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justify" vertical="top" wrapText="1"/>
    </xf>
    <xf numFmtId="4" fontId="0" fillId="0" borderId="11" xfId="0" applyNumberFormat="1" applyBorder="1" applyAlignment="1">
      <alignment horizontal="left" indent="1"/>
    </xf>
    <xf numFmtId="0" fontId="2" fillId="0" borderId="11" xfId="0" applyFont="1" applyBorder="1" applyAlignment="1"/>
    <xf numFmtId="0" fontId="2" fillId="0" borderId="11" xfId="0" applyFont="1" applyBorder="1" applyAlignment="1">
      <alignment horizontal="right" vertical="center"/>
    </xf>
    <xf numFmtId="4" fontId="3" fillId="0" borderId="11" xfId="46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3" fillId="0" borderId="11" xfId="46" applyNumberFormat="1" applyFont="1" applyBorder="1" applyAlignment="1">
      <alignment horizontal="right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1" xfId="46" applyNumberFormat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/>
    </xf>
    <xf numFmtId="3" fontId="2" fillId="26" borderId="11" xfId="0" applyNumberFormat="1" applyFont="1" applyFill="1" applyBorder="1" applyAlignment="1">
      <alignment horizontal="right" vertical="center"/>
    </xf>
    <xf numFmtId="0" fontId="92" fillId="0" borderId="0" xfId="0" applyFont="1" applyBorder="1" applyAlignment="1">
      <alignment horizontal="right"/>
    </xf>
    <xf numFmtId="3" fontId="2" fillId="0" borderId="11" xfId="0" applyNumberFormat="1" applyFont="1" applyBorder="1" applyAlignment="1">
      <alignment horizontal="left" vertical="top" wrapText="1"/>
    </xf>
    <xf numFmtId="3" fontId="2" fillId="0" borderId="11" xfId="46" applyNumberFormat="1" applyFont="1" applyBorder="1" applyAlignment="1">
      <alignment wrapText="1"/>
    </xf>
    <xf numFmtId="0" fontId="8" fillId="0" borderId="60" xfId="0" applyFont="1" applyBorder="1"/>
    <xf numFmtId="0" fontId="7" fillId="0" borderId="60" xfId="0" applyFont="1" applyBorder="1"/>
    <xf numFmtId="0" fontId="4" fillId="0" borderId="11" xfId="0" applyFont="1" applyFill="1" applyBorder="1" applyAlignment="1">
      <alignment horizontal="center" vertical="center" wrapText="1"/>
    </xf>
    <xf numFmtId="0" fontId="0" fillId="0" borderId="11" xfId="0" applyBorder="1"/>
    <xf numFmtId="3" fontId="0" fillId="0" borderId="11" xfId="0" applyNumberFormat="1" applyBorder="1"/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/>
    </xf>
    <xf numFmtId="0" fontId="2" fillId="0" borderId="11" xfId="0" applyFont="1" applyFill="1" applyBorder="1"/>
    <xf numFmtId="3" fontId="2" fillId="0" borderId="11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3" fontId="6" fillId="0" borderId="11" xfId="0" applyNumberFormat="1" applyFont="1" applyBorder="1" applyAlignment="1">
      <alignment horizontal="center"/>
    </xf>
    <xf numFmtId="167" fontId="16" fillId="0" borderId="11" xfId="56" applyNumberFormat="1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7" fillId="0" borderId="11" xfId="0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/>
    </xf>
    <xf numFmtId="179" fontId="8" fillId="0" borderId="61" xfId="0" applyNumberFormat="1" applyFont="1" applyBorder="1"/>
    <xf numFmtId="3" fontId="8" fillId="27" borderId="64" xfId="0" applyNumberFormat="1" applyFont="1" applyFill="1" applyBorder="1" applyAlignment="1">
      <alignment vertical="center"/>
    </xf>
    <xf numFmtId="0" fontId="7" fillId="0" borderId="61" xfId="0" applyFont="1" applyBorder="1"/>
    <xf numFmtId="179" fontId="7" fillId="0" borderId="61" xfId="0" applyNumberFormat="1" applyFont="1" applyBorder="1"/>
    <xf numFmtId="179" fontId="8" fillId="27" borderId="61" xfId="0" applyNumberFormat="1" applyFont="1" applyFill="1" applyBorder="1"/>
    <xf numFmtId="179" fontId="8" fillId="0" borderId="0" xfId="0" applyNumberFormat="1" applyFont="1" applyBorder="1"/>
    <xf numFmtId="167" fontId="8" fillId="0" borderId="0" xfId="56" applyNumberFormat="1" applyFont="1" applyBorder="1" applyAlignment="1">
      <alignment horizontal="center"/>
    </xf>
    <xf numFmtId="0" fontId="8" fillId="27" borderId="1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/>
    </xf>
    <xf numFmtId="172" fontId="3" fillId="0" borderId="58" xfId="0" applyNumberFormat="1" applyFont="1" applyFill="1" applyBorder="1" applyAlignment="1">
      <alignment vertical="center"/>
    </xf>
    <xf numFmtId="172" fontId="1" fillId="0" borderId="0" xfId="45" applyNumberFormat="1" applyFill="1" applyBorder="1" applyAlignment="1">
      <alignment horizontal="center" vertical="center" wrapText="1"/>
    </xf>
    <xf numFmtId="17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74" fontId="0" fillId="0" borderId="0" xfId="0" applyNumberFormat="1" applyFill="1"/>
    <xf numFmtId="177" fontId="0" fillId="0" borderId="0" xfId="0" applyNumberFormat="1"/>
    <xf numFmtId="177" fontId="0" fillId="0" borderId="0" xfId="0" applyNumberFormat="1" applyAlignment="1">
      <alignment horizontal="right"/>
    </xf>
    <xf numFmtId="167" fontId="2" fillId="0" borderId="0" xfId="56" applyNumberFormat="1" applyFont="1"/>
    <xf numFmtId="0" fontId="2" fillId="0" borderId="15" xfId="0" applyFont="1" applyFill="1" applyBorder="1" applyAlignment="1">
      <alignment horizontal="center" vertical="center" wrapText="1"/>
    </xf>
    <xf numFmtId="168" fontId="2" fillId="0" borderId="0" xfId="40" applyNumberFormat="1" applyFont="1" applyFill="1" applyBorder="1"/>
    <xf numFmtId="167" fontId="2" fillId="0" borderId="0" xfId="56" applyNumberFormat="1" applyFont="1" applyFill="1"/>
    <xf numFmtId="0" fontId="2" fillId="0" borderId="0" xfId="0" applyFont="1" applyFill="1" applyAlignment="1"/>
    <xf numFmtId="0" fontId="0" fillId="0" borderId="0" xfId="0" applyFill="1" applyAlignment="1">
      <alignment horizontal="right"/>
    </xf>
    <xf numFmtId="177" fontId="0" fillId="0" borderId="0" xfId="0" applyNumberFormat="1" applyFill="1" applyAlignment="1">
      <alignment horizontal="right"/>
    </xf>
    <xf numFmtId="177" fontId="3" fillId="0" borderId="0" xfId="0" applyNumberFormat="1" applyFont="1" applyFill="1" applyAlignment="1">
      <alignment horizontal="right"/>
    </xf>
    <xf numFmtId="173" fontId="0" fillId="0" borderId="0" xfId="0" applyNumberFormat="1"/>
    <xf numFmtId="0" fontId="95" fillId="0" borderId="0" xfId="0" applyFont="1" applyBorder="1" applyAlignment="1">
      <alignment horizontal="center"/>
    </xf>
    <xf numFmtId="0" fontId="81" fillId="0" borderId="0" xfId="0" applyFont="1" applyBorder="1" applyAlignment="1">
      <alignment horizontal="justify"/>
    </xf>
    <xf numFmtId="0" fontId="8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96" fillId="0" borderId="0" xfId="0" applyFont="1" applyBorder="1" applyAlignment="1">
      <alignment horizontal="right"/>
    </xf>
    <xf numFmtId="0" fontId="73" fillId="33" borderId="51" xfId="0" applyFont="1" applyFill="1" applyBorder="1" applyAlignment="1">
      <alignment horizontal="center"/>
    </xf>
    <xf numFmtId="4" fontId="80" fillId="0" borderId="51" xfId="0" applyNumberFormat="1" applyFont="1" applyBorder="1"/>
    <xf numFmtId="4" fontId="78" fillId="0" borderId="29" xfId="0" applyNumberFormat="1" applyFont="1" applyBorder="1"/>
    <xf numFmtId="0" fontId="81" fillId="0" borderId="29" xfId="49" applyFont="1" applyBorder="1"/>
    <xf numFmtId="0" fontId="84" fillId="0" borderId="29" xfId="0" applyNumberFormat="1" applyFont="1" applyFill="1" applyBorder="1" applyAlignment="1" applyProtection="1"/>
    <xf numFmtId="0" fontId="79" fillId="0" borderId="29" xfId="0" applyNumberFormat="1" applyFont="1" applyFill="1" applyBorder="1" applyAlignment="1" applyProtection="1"/>
    <xf numFmtId="0" fontId="85" fillId="0" borderId="29" xfId="0" applyFont="1" applyFill="1" applyBorder="1"/>
    <xf numFmtId="0" fontId="7" fillId="0" borderId="29" xfId="49" applyFont="1" applyBorder="1"/>
    <xf numFmtId="0" fontId="7" fillId="0" borderId="29" xfId="0" applyNumberFormat="1" applyFont="1" applyFill="1" applyBorder="1" applyAlignment="1" applyProtection="1"/>
    <xf numFmtId="0" fontId="49" fillId="0" borderId="29" xfId="49" applyFont="1" applyBorder="1"/>
    <xf numFmtId="0" fontId="79" fillId="0" borderId="54" xfId="0" applyNumberFormat="1" applyFont="1" applyFill="1" applyBorder="1" applyAlignment="1" applyProtection="1"/>
    <xf numFmtId="3" fontId="83" fillId="0" borderId="62" xfId="0" applyNumberFormat="1" applyFont="1" applyFill="1" applyBorder="1"/>
    <xf numFmtId="3" fontId="83" fillId="0" borderId="56" xfId="0" applyNumberFormat="1" applyFont="1" applyFill="1" applyBorder="1"/>
    <xf numFmtId="0" fontId="51" fillId="24" borderId="29" xfId="0" applyFont="1" applyFill="1" applyBorder="1"/>
    <xf numFmtId="0" fontId="51" fillId="24" borderId="11" xfId="0" applyFont="1" applyFill="1" applyBorder="1" applyAlignment="1">
      <alignment horizontal="center" vertical="center" wrapText="1" shrinkToFit="1"/>
    </xf>
    <xf numFmtId="0" fontId="52" fillId="24" borderId="12" xfId="0" applyFont="1" applyFill="1" applyBorder="1"/>
    <xf numFmtId="0" fontId="52" fillId="24" borderId="29" xfId="0" applyFont="1" applyFill="1" applyBorder="1" applyAlignment="1">
      <alignment horizontal="left" indent="1"/>
    </xf>
    <xf numFmtId="3" fontId="52" fillId="24" borderId="12" xfId="0" applyNumberFormat="1" applyFont="1" applyFill="1" applyBorder="1"/>
    <xf numFmtId="167" fontId="52" fillId="24" borderId="12" xfId="56" applyNumberFormat="1" applyFont="1" applyFill="1" applyBorder="1" applyAlignment="1">
      <alignment horizontal="center"/>
    </xf>
    <xf numFmtId="0" fontId="52" fillId="24" borderId="29" xfId="0" applyFont="1" applyFill="1" applyBorder="1"/>
    <xf numFmtId="3" fontId="51" fillId="24" borderId="11" xfId="0" applyNumberFormat="1" applyFont="1" applyFill="1" applyBorder="1"/>
    <xf numFmtId="167" fontId="51" fillId="24" borderId="11" xfId="56" applyNumberFormat="1" applyFont="1" applyFill="1" applyBorder="1" applyAlignment="1">
      <alignment horizontal="center"/>
    </xf>
    <xf numFmtId="0" fontId="51" fillId="24" borderId="12" xfId="0" applyFont="1" applyFill="1" applyBorder="1" applyAlignment="1">
      <alignment horizontal="center"/>
    </xf>
    <xf numFmtId="9" fontId="52" fillId="24" borderId="12" xfId="56" applyFont="1" applyFill="1" applyBorder="1"/>
    <xf numFmtId="9" fontId="70" fillId="24" borderId="12" xfId="56" applyFont="1" applyFill="1" applyBorder="1"/>
    <xf numFmtId="3" fontId="71" fillId="24" borderId="12" xfId="0" applyNumberFormat="1" applyFont="1" applyFill="1" applyBorder="1"/>
    <xf numFmtId="9" fontId="51" fillId="24" borderId="11" xfId="56" applyFont="1" applyFill="1" applyBorder="1"/>
    <xf numFmtId="0" fontId="51" fillId="24" borderId="61" xfId="0" applyFont="1" applyFill="1" applyBorder="1"/>
    <xf numFmtId="0" fontId="51" fillId="24" borderId="11" xfId="0" applyFont="1" applyFill="1" applyBorder="1" applyAlignment="1">
      <alignment horizontal="center"/>
    </xf>
    <xf numFmtId="0" fontId="3" fillId="24" borderId="29" xfId="0" applyFont="1" applyFill="1" applyBorder="1"/>
    <xf numFmtId="167" fontId="3" fillId="24" borderId="12" xfId="0" applyNumberFormat="1" applyFont="1" applyFill="1" applyBorder="1"/>
    <xf numFmtId="0" fontId="3" fillId="24" borderId="0" xfId="0" applyFont="1" applyFill="1" applyBorder="1"/>
    <xf numFmtId="0" fontId="3" fillId="24" borderId="12" xfId="0" applyFont="1" applyFill="1" applyBorder="1"/>
    <xf numFmtId="0" fontId="2" fillId="24" borderId="29" xfId="0" applyFont="1" applyFill="1" applyBorder="1"/>
    <xf numFmtId="0" fontId="2" fillId="24" borderId="29" xfId="0" applyFont="1" applyFill="1" applyBorder="1" applyAlignment="1">
      <alignment horizontal="center"/>
    </xf>
    <xf numFmtId="3" fontId="3" fillId="24" borderId="29" xfId="0" applyNumberFormat="1" applyFont="1" applyFill="1" applyBorder="1"/>
    <xf numFmtId="167" fontId="3" fillId="24" borderId="12" xfId="56" applyNumberFormat="1" applyFont="1" applyFill="1" applyBorder="1"/>
    <xf numFmtId="9" fontId="3" fillId="24" borderId="0" xfId="56" applyFont="1" applyFill="1" applyBorder="1"/>
    <xf numFmtId="3" fontId="3" fillId="24" borderId="12" xfId="0" applyNumberFormat="1" applyFont="1" applyFill="1" applyBorder="1"/>
    <xf numFmtId="3" fontId="2" fillId="24" borderId="61" xfId="0" applyNumberFormat="1" applyFont="1" applyFill="1" applyBorder="1" applyAlignment="1">
      <alignment horizontal="right"/>
    </xf>
    <xf numFmtId="167" fontId="2" fillId="24" borderId="11" xfId="56" applyNumberFormat="1" applyFont="1" applyFill="1" applyBorder="1" applyAlignment="1">
      <alignment horizontal="right"/>
    </xf>
    <xf numFmtId="9" fontId="2" fillId="24" borderId="65" xfId="56" applyFont="1" applyFill="1" applyBorder="1" applyAlignment="1">
      <alignment horizontal="right"/>
    </xf>
    <xf numFmtId="3" fontId="2" fillId="24" borderId="11" xfId="0" applyNumberFormat="1" applyFont="1" applyFill="1" applyBorder="1" applyAlignment="1">
      <alignment horizontal="right"/>
    </xf>
    <xf numFmtId="4" fontId="3" fillId="24" borderId="0" xfId="0" applyNumberFormat="1" applyFont="1" applyFill="1" applyBorder="1"/>
    <xf numFmtId="167" fontId="3" fillId="24" borderId="0" xfId="56" applyNumberFormat="1" applyFont="1" applyFill="1" applyBorder="1"/>
    <xf numFmtId="3" fontId="2" fillId="24" borderId="61" xfId="0" applyNumberFormat="1" applyFont="1" applyFill="1" applyBorder="1"/>
    <xf numFmtId="167" fontId="2" fillId="24" borderId="11" xfId="56" applyNumberFormat="1" applyFont="1" applyFill="1" applyBorder="1"/>
    <xf numFmtId="4" fontId="2" fillId="24" borderId="65" xfId="0" applyNumberFormat="1" applyFont="1" applyFill="1" applyBorder="1"/>
    <xf numFmtId="0" fontId="2" fillId="24" borderId="54" xfId="0" applyFont="1" applyFill="1" applyBorder="1"/>
    <xf numFmtId="3" fontId="2" fillId="24" borderId="54" xfId="0" applyNumberFormat="1" applyFont="1" applyFill="1" applyBorder="1"/>
    <xf numFmtId="9" fontId="2" fillId="24" borderId="62" xfId="56" applyFont="1" applyFill="1" applyBorder="1"/>
    <xf numFmtId="4" fontId="2" fillId="24" borderId="55" xfId="0" applyNumberFormat="1" applyFont="1" applyFill="1" applyBorder="1"/>
    <xf numFmtId="0" fontId="2" fillId="24" borderId="11" xfId="0" applyFont="1" applyFill="1" applyBorder="1"/>
    <xf numFmtId="3" fontId="2" fillId="24" borderId="11" xfId="0" applyNumberFormat="1" applyFont="1" applyFill="1" applyBorder="1"/>
    <xf numFmtId="9" fontId="52" fillId="0" borderId="0" xfId="0" applyNumberFormat="1" applyFont="1"/>
    <xf numFmtId="168" fontId="52" fillId="0" borderId="0" xfId="40" applyNumberFormat="1" applyFont="1"/>
    <xf numFmtId="0" fontId="51" fillId="24" borderId="11" xfId="0" applyFont="1" applyFill="1" applyBorder="1"/>
    <xf numFmtId="0" fontId="52" fillId="24" borderId="0" xfId="0" applyFont="1" applyFill="1"/>
    <xf numFmtId="3" fontId="52" fillId="24" borderId="0" xfId="0" applyNumberFormat="1" applyFont="1" applyFill="1"/>
    <xf numFmtId="3" fontId="52" fillId="24" borderId="16" xfId="0" applyNumberFormat="1" applyFont="1" applyFill="1" applyBorder="1"/>
    <xf numFmtId="3" fontId="51" fillId="24" borderId="16" xfId="0" applyNumberFormat="1" applyFont="1" applyFill="1" applyBorder="1"/>
    <xf numFmtId="0" fontId="51" fillId="24" borderId="11" xfId="0" applyFont="1" applyFill="1" applyBorder="1" applyAlignment="1">
      <alignment horizontal="left" vertical="center" wrapText="1"/>
    </xf>
    <xf numFmtId="0" fontId="51" fillId="24" borderId="11" xfId="0" applyFont="1" applyFill="1" applyBorder="1" applyAlignment="1">
      <alignment horizontal="center" vertical="center" wrapText="1"/>
    </xf>
    <xf numFmtId="0" fontId="52" fillId="24" borderId="0" xfId="0" applyFont="1" applyFill="1" applyBorder="1"/>
    <xf numFmtId="3" fontId="52" fillId="24" borderId="0" xfId="0" applyNumberFormat="1" applyFont="1" applyFill="1" applyBorder="1"/>
    <xf numFmtId="3" fontId="51" fillId="24" borderId="0" xfId="0" applyNumberFormat="1" applyFont="1" applyFill="1" applyBorder="1"/>
    <xf numFmtId="0" fontId="52" fillId="24" borderId="52" xfId="0" applyFont="1" applyFill="1" applyBorder="1"/>
    <xf numFmtId="166" fontId="0" fillId="0" borderId="0" xfId="0" applyNumberFormat="1" applyFill="1"/>
    <xf numFmtId="0" fontId="2" fillId="24" borderId="66" xfId="0" applyFont="1" applyFill="1" applyBorder="1" applyAlignment="1">
      <alignment horizontal="center" vertical="center" wrapText="1"/>
    </xf>
    <xf numFmtId="49" fontId="3" fillId="24" borderId="0" xfId="0" applyNumberFormat="1" applyFont="1" applyFill="1" applyBorder="1" applyAlignment="1">
      <alignment horizontal="center"/>
    </xf>
    <xf numFmtId="17" fontId="3" fillId="24" borderId="0" xfId="0" applyNumberFormat="1" applyFont="1" applyFill="1" applyBorder="1" applyAlignment="1">
      <alignment horizontal="center"/>
    </xf>
    <xf numFmtId="0" fontId="2" fillId="24" borderId="65" xfId="0" applyFont="1" applyFill="1" applyBorder="1"/>
    <xf numFmtId="0" fontId="2" fillId="24" borderId="65" xfId="0" applyFont="1" applyFill="1" applyBorder="1" applyAlignment="1">
      <alignment horizontal="center"/>
    </xf>
    <xf numFmtId="0" fontId="2" fillId="24" borderId="65" xfId="0" applyFont="1" applyFill="1" applyBorder="1" applyAlignment="1">
      <alignment horizontal="left" vertical="center"/>
    </xf>
    <xf numFmtId="17" fontId="3" fillId="24" borderId="65" xfId="0" applyNumberFormat="1" applyFont="1" applyFill="1" applyBorder="1" applyAlignment="1">
      <alignment horizontal="center" vertical="center"/>
    </xf>
    <xf numFmtId="17" fontId="2" fillId="24" borderId="65" xfId="0" applyNumberFormat="1" applyFont="1" applyFill="1" applyBorder="1" applyAlignment="1">
      <alignment horizontal="center" vertical="center"/>
    </xf>
    <xf numFmtId="0" fontId="2" fillId="24" borderId="63" xfId="0" applyFont="1" applyFill="1" applyBorder="1" applyAlignment="1">
      <alignment horizontal="left" vertical="center"/>
    </xf>
    <xf numFmtId="17" fontId="2" fillId="24" borderId="63" xfId="0" applyNumberFormat="1" applyFont="1" applyFill="1" applyBorder="1" applyAlignment="1">
      <alignment horizontal="center" vertical="center"/>
    </xf>
    <xf numFmtId="0" fontId="2" fillId="24" borderId="0" xfId="0" applyFont="1" applyFill="1"/>
    <xf numFmtId="168" fontId="80" fillId="24" borderId="0" xfId="44" applyNumberFormat="1" applyFont="1" applyFill="1"/>
    <xf numFmtId="168" fontId="10" fillId="24" borderId="0" xfId="44" applyNumberFormat="1" applyFont="1" applyFill="1"/>
    <xf numFmtId="0" fontId="0" fillId="24" borderId="0" xfId="0" applyFill="1"/>
    <xf numFmtId="0" fontId="24" fillId="0" borderId="12" xfId="0" applyFont="1" applyFill="1" applyBorder="1"/>
    <xf numFmtId="174" fontId="8" fillId="0" borderId="12" xfId="0" applyNumberFormat="1" applyFont="1" applyFill="1" applyBorder="1"/>
    <xf numFmtId="174" fontId="24" fillId="0" borderId="12" xfId="0" applyNumberFormat="1" applyFont="1" applyFill="1" applyBorder="1"/>
    <xf numFmtId="174" fontId="24" fillId="0" borderId="12" xfId="0" applyNumberFormat="1" applyFont="1" applyFill="1" applyBorder="1" applyAlignment="1">
      <alignment horizontal="right"/>
    </xf>
    <xf numFmtId="174" fontId="8" fillId="0" borderId="12" xfId="0" applyNumberFormat="1" applyFont="1" applyFill="1" applyBorder="1" applyAlignment="1">
      <alignment horizontal="right"/>
    </xf>
    <xf numFmtId="0" fontId="23" fillId="0" borderId="67" xfId="0" applyFont="1" applyFill="1" applyBorder="1" applyAlignment="1">
      <alignment horizontal="center"/>
    </xf>
    <xf numFmtId="182" fontId="8" fillId="0" borderId="67" xfId="0" applyNumberFormat="1" applyFont="1" applyFill="1" applyBorder="1"/>
    <xf numFmtId="172" fontId="0" fillId="0" borderId="68" xfId="0" applyNumberFormat="1" applyFill="1" applyBorder="1" applyAlignment="1">
      <alignment horizontal="center" vertical="center" wrapText="1"/>
    </xf>
    <xf numFmtId="172" fontId="0" fillId="0" borderId="69" xfId="0" applyNumberFormat="1" applyFill="1" applyBorder="1" applyAlignment="1">
      <alignment horizontal="center" vertical="center" wrapText="1"/>
    </xf>
    <xf numFmtId="172" fontId="3" fillId="0" borderId="70" xfId="45" applyNumberFormat="1" applyFont="1" applyFill="1" applyBorder="1" applyAlignment="1">
      <alignment horizontal="center" vertical="center" wrapText="1"/>
    </xf>
    <xf numFmtId="172" fontId="3" fillId="0" borderId="69" xfId="45" applyNumberFormat="1" applyFont="1" applyFill="1" applyBorder="1" applyAlignment="1">
      <alignment horizontal="center" vertical="center" wrapText="1"/>
    </xf>
    <xf numFmtId="172" fontId="3" fillId="0" borderId="71" xfId="45" applyNumberFormat="1" applyFont="1" applyFill="1" applyBorder="1" applyAlignment="1">
      <alignment horizontal="center" vertical="center" wrapText="1"/>
    </xf>
    <xf numFmtId="172" fontId="1" fillId="0" borderId="72" xfId="45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61" xfId="0" applyFont="1" applyBorder="1"/>
    <xf numFmtId="0" fontId="2" fillId="0" borderId="65" xfId="0" applyFont="1" applyBorder="1"/>
    <xf numFmtId="0" fontId="2" fillId="0" borderId="73" xfId="0" applyFont="1" applyBorder="1"/>
    <xf numFmtId="0" fontId="1" fillId="0" borderId="12" xfId="0" applyFont="1" applyFill="1" applyBorder="1"/>
    <xf numFmtId="168" fontId="1" fillId="0" borderId="12" xfId="40" applyNumberFormat="1" applyFont="1" applyFill="1" applyBorder="1"/>
    <xf numFmtId="9" fontId="1" fillId="0" borderId="12" xfId="56" applyFont="1" applyFill="1" applyBorder="1"/>
    <xf numFmtId="168" fontId="1" fillId="0" borderId="12" xfId="0" applyNumberFormat="1" applyFont="1" applyFill="1" applyBorder="1"/>
    <xf numFmtId="168" fontId="10" fillId="0" borderId="12" xfId="40" applyNumberFormat="1" applyFont="1" applyBorder="1"/>
    <xf numFmtId="9" fontId="10" fillId="0" borderId="12" xfId="56" applyFont="1" applyBorder="1"/>
    <xf numFmtId="10" fontId="1" fillId="0" borderId="12" xfId="56" applyNumberFormat="1" applyFont="1" applyFill="1" applyBorder="1"/>
    <xf numFmtId="167" fontId="1" fillId="0" borderId="12" xfId="56" applyNumberFormat="1" applyFont="1" applyFill="1" applyBorder="1"/>
    <xf numFmtId="167" fontId="3" fillId="0" borderId="12" xfId="56" applyNumberFormat="1" applyFont="1" applyFill="1" applyBorder="1"/>
    <xf numFmtId="0" fontId="2" fillId="0" borderId="12" xfId="0" applyFont="1" applyFill="1" applyBorder="1"/>
    <xf numFmtId="168" fontId="2" fillId="0" borderId="12" xfId="0" applyNumberFormat="1" applyFont="1" applyFill="1" applyBorder="1"/>
    <xf numFmtId="0" fontId="2" fillId="0" borderId="62" xfId="0" applyFont="1" applyFill="1" applyBorder="1"/>
    <xf numFmtId="168" fontId="2" fillId="0" borderId="62" xfId="0" applyNumberFormat="1" applyFont="1" applyFill="1" applyBorder="1"/>
    <xf numFmtId="0" fontId="2" fillId="0" borderId="60" xfId="0" applyFont="1" applyBorder="1"/>
    <xf numFmtId="0" fontId="2" fillId="0" borderId="52" xfId="0" applyFont="1" applyBorder="1" applyAlignment="1">
      <alignment horizontal="center"/>
    </xf>
    <xf numFmtId="0" fontId="2" fillId="0" borderId="52" xfId="0" applyFont="1" applyBorder="1"/>
    <xf numFmtId="0" fontId="2" fillId="0" borderId="53" xfId="0" applyFont="1" applyBorder="1"/>
    <xf numFmtId="0" fontId="0" fillId="0" borderId="0" xfId="0" applyBorder="1" applyAlignment="1">
      <alignment horizontal="center"/>
    </xf>
    <xf numFmtId="167" fontId="3" fillId="0" borderId="0" xfId="56" applyNumberFormat="1" applyFont="1" applyFill="1" applyBorder="1"/>
    <xf numFmtId="168" fontId="10" fillId="0" borderId="0" xfId="40" applyNumberFormat="1" applyFont="1" applyBorder="1"/>
    <xf numFmtId="168" fontId="3" fillId="0" borderId="0" xfId="40" applyNumberFormat="1" applyFont="1" applyBorder="1"/>
    <xf numFmtId="9" fontId="10" fillId="0" borderId="0" xfId="56" applyFont="1" applyBorder="1"/>
    <xf numFmtId="168" fontId="10" fillId="0" borderId="0" xfId="0" applyNumberFormat="1" applyFont="1" applyBorder="1"/>
    <xf numFmtId="0" fontId="2" fillId="0" borderId="0" xfId="0" applyFont="1" applyFill="1" applyBorder="1" applyAlignment="1">
      <alignment horizontal="right"/>
    </xf>
    <xf numFmtId="168" fontId="2" fillId="0" borderId="0" xfId="0" applyNumberFormat="1" applyFont="1" applyFill="1" applyBorder="1"/>
    <xf numFmtId="0" fontId="11" fillId="0" borderId="0" xfId="0" applyFont="1" applyBorder="1"/>
    <xf numFmtId="0" fontId="0" fillId="0" borderId="51" xfId="0" applyBorder="1"/>
    <xf numFmtId="0" fontId="1" fillId="0" borderId="52" xfId="0" applyFont="1" applyFill="1" applyBorder="1"/>
    <xf numFmtId="10" fontId="1" fillId="0" borderId="52" xfId="56" applyNumberFormat="1" applyFont="1" applyFill="1" applyBorder="1"/>
    <xf numFmtId="167" fontId="1" fillId="0" borderId="5" xfId="56" applyNumberFormat="1" applyFont="1" applyFill="1" applyBorder="1"/>
    <xf numFmtId="168" fontId="1" fillId="0" borderId="5" xfId="40" applyNumberFormat="1" applyFont="1" applyFill="1" applyBorder="1"/>
    <xf numFmtId="168" fontId="1" fillId="0" borderId="5" xfId="0" applyNumberFormat="1" applyFont="1" applyFill="1" applyBorder="1"/>
    <xf numFmtId="0" fontId="1" fillId="0" borderId="5" xfId="0" applyFont="1" applyFill="1" applyBorder="1"/>
    <xf numFmtId="167" fontId="3" fillId="0" borderId="5" xfId="56" applyNumberFormat="1" applyFont="1" applyFill="1" applyBorder="1"/>
    <xf numFmtId="168" fontId="0" fillId="0" borderId="5" xfId="0" applyNumberFormat="1" applyBorder="1"/>
    <xf numFmtId="0" fontId="2" fillId="0" borderId="29" xfId="0" applyFont="1" applyFill="1" applyBorder="1"/>
    <xf numFmtId="168" fontId="2" fillId="0" borderId="5" xfId="0" applyNumberFormat="1" applyFont="1" applyFill="1" applyBorder="1"/>
    <xf numFmtId="10" fontId="1" fillId="0" borderId="5" xfId="56" applyNumberFormat="1" applyFont="1" applyFill="1" applyBorder="1"/>
    <xf numFmtId="0" fontId="2" fillId="0" borderId="54" xfId="0" applyFont="1" applyFill="1" applyBorder="1"/>
    <xf numFmtId="0" fontId="2" fillId="0" borderId="55" xfId="0" applyFont="1" applyFill="1" applyBorder="1" applyAlignment="1">
      <alignment horizontal="right"/>
    </xf>
    <xf numFmtId="168" fontId="2" fillId="0" borderId="55" xfId="0" applyNumberFormat="1" applyFont="1" applyFill="1" applyBorder="1"/>
    <xf numFmtId="168" fontId="2" fillId="0" borderId="56" xfId="0" applyNumberFormat="1" applyFont="1" applyFill="1" applyBorder="1"/>
    <xf numFmtId="0" fontId="0" fillId="0" borderId="6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2" fillId="0" borderId="62" xfId="0" applyFont="1" applyFill="1" applyBorder="1" applyAlignment="1">
      <alignment horizontal="right"/>
    </xf>
    <xf numFmtId="0" fontId="2" fillId="0" borderId="51" xfId="0" applyFont="1" applyBorder="1"/>
    <xf numFmtId="10" fontId="1" fillId="0" borderId="60" xfId="56" applyNumberFormat="1" applyFont="1" applyFill="1" applyBorder="1"/>
    <xf numFmtId="0" fontId="2" fillId="0" borderId="51" xfId="0" applyFont="1" applyFill="1" applyBorder="1"/>
    <xf numFmtId="0" fontId="2" fillId="0" borderId="60" xfId="0" applyFont="1" applyFill="1" applyBorder="1" applyAlignment="1">
      <alignment horizontal="right"/>
    </xf>
    <xf numFmtId="168" fontId="2" fillId="0" borderId="52" xfId="0" applyNumberFormat="1" applyFont="1" applyFill="1" applyBorder="1"/>
    <xf numFmtId="168" fontId="2" fillId="0" borderId="60" xfId="0" applyNumberFormat="1" applyFont="1" applyFill="1" applyBorder="1"/>
    <xf numFmtId="0" fontId="2" fillId="0" borderId="1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2" fillId="25" borderId="0" xfId="0" applyFont="1" applyFill="1" applyBorder="1" applyAlignment="1">
      <alignment horizontal="right"/>
    </xf>
    <xf numFmtId="168" fontId="2" fillId="25" borderId="0" xfId="0" applyNumberFormat="1" applyFont="1" applyFill="1" applyBorder="1"/>
    <xf numFmtId="0" fontId="2" fillId="0" borderId="52" xfId="0" applyFont="1" applyFill="1" applyBorder="1" applyAlignment="1">
      <alignment horizontal="right"/>
    </xf>
    <xf numFmtId="168" fontId="2" fillId="0" borderId="53" xfId="0" applyNumberFormat="1" applyFont="1" applyFill="1" applyBorder="1"/>
    <xf numFmtId="167" fontId="10" fillId="0" borderId="0" xfId="56" applyNumberFormat="1" applyFont="1" applyFill="1" applyBorder="1"/>
    <xf numFmtId="167" fontId="10" fillId="0" borderId="5" xfId="56" applyNumberFormat="1" applyFont="1" applyFill="1" applyBorder="1"/>
    <xf numFmtId="0" fontId="0" fillId="0" borderId="0" xfId="0" applyBorder="1" applyAlignment="1">
      <alignment horizontal="right"/>
    </xf>
    <xf numFmtId="168" fontId="3" fillId="0" borderId="0" xfId="40" applyNumberFormat="1" applyFont="1" applyFill="1" applyBorder="1"/>
    <xf numFmtId="168" fontId="3" fillId="0" borderId="5" xfId="40" applyNumberFormat="1" applyFont="1" applyFill="1" applyBorder="1"/>
    <xf numFmtId="168" fontId="10" fillId="0" borderId="0" xfId="0" applyNumberFormat="1" applyFont="1" applyFill="1" applyBorder="1"/>
    <xf numFmtId="168" fontId="10" fillId="0" borderId="5" xfId="0" applyNumberFormat="1" applyFont="1" applyFill="1" applyBorder="1"/>
    <xf numFmtId="168" fontId="0" fillId="27" borderId="67" xfId="0" applyNumberFormat="1" applyFill="1" applyBorder="1"/>
    <xf numFmtId="168" fontId="0" fillId="0" borderId="12" xfId="0" applyNumberFormat="1" applyFill="1" applyBorder="1"/>
    <xf numFmtId="167" fontId="10" fillId="0" borderId="12" xfId="56" applyNumberFormat="1" applyFont="1" applyFill="1" applyBorder="1"/>
    <xf numFmtId="168" fontId="10" fillId="0" borderId="12" xfId="0" applyNumberFormat="1" applyFont="1" applyFill="1" applyBorder="1"/>
    <xf numFmtId="0" fontId="2" fillId="0" borderId="65" xfId="0" applyFont="1" applyBorder="1" applyAlignment="1">
      <alignment horizontal="right"/>
    </xf>
    <xf numFmtId="0" fontId="2" fillId="25" borderId="0" xfId="0" applyFont="1" applyFill="1" applyBorder="1"/>
    <xf numFmtId="0" fontId="2" fillId="0" borderId="60" xfId="0" applyFont="1" applyFill="1" applyBorder="1"/>
    <xf numFmtId="0" fontId="11" fillId="0" borderId="0" xfId="0" applyFont="1" applyAlignment="1">
      <alignment horizontal="left"/>
    </xf>
    <xf numFmtId="3" fontId="0" fillId="27" borderId="11" xfId="0" applyNumberFormat="1" applyFill="1" applyBorder="1"/>
    <xf numFmtId="3" fontId="2" fillId="27" borderId="11" xfId="0" applyNumberFormat="1" applyFont="1" applyFill="1" applyBorder="1"/>
    <xf numFmtId="3" fontId="59" fillId="36" borderId="0" xfId="0" applyNumberFormat="1" applyFont="1" applyFill="1"/>
    <xf numFmtId="3" fontId="57" fillId="36" borderId="0" xfId="0" applyNumberFormat="1" applyFont="1" applyFill="1"/>
    <xf numFmtId="0" fontId="2" fillId="25" borderId="11" xfId="0" applyFont="1" applyFill="1" applyBorder="1"/>
    <xf numFmtId="0" fontId="0" fillId="0" borderId="11" xfId="0" applyFill="1" applyBorder="1"/>
    <xf numFmtId="168" fontId="0" fillId="0" borderId="11" xfId="0" applyNumberFormat="1" applyFill="1" applyBorder="1"/>
    <xf numFmtId="10" fontId="0" fillId="0" borderId="11" xfId="56" applyNumberFormat="1" applyFont="1" applyFill="1" applyBorder="1"/>
    <xf numFmtId="167" fontId="0" fillId="37" borderId="11" xfId="56" applyNumberFormat="1" applyFont="1" applyFill="1" applyBorder="1" applyAlignment="1">
      <alignment horizontal="center"/>
    </xf>
    <xf numFmtId="168" fontId="0" fillId="38" borderId="11" xfId="0" applyNumberFormat="1" applyFill="1" applyBorder="1"/>
    <xf numFmtId="168" fontId="0" fillId="25" borderId="11" xfId="0" applyNumberFormat="1" applyFill="1" applyBorder="1"/>
    <xf numFmtId="10" fontId="0" fillId="37" borderId="11" xfId="56" applyNumberFormat="1" applyFont="1" applyFill="1" applyBorder="1"/>
    <xf numFmtId="164" fontId="0" fillId="0" borderId="0" xfId="0" applyNumberFormat="1"/>
    <xf numFmtId="0" fontId="2" fillId="0" borderId="58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3" fillId="0" borderId="57" xfId="49" applyFont="1" applyFill="1" applyBorder="1"/>
    <xf numFmtId="0" fontId="3" fillId="0" borderId="20" xfId="49" applyFont="1" applyFill="1" applyBorder="1"/>
    <xf numFmtId="0" fontId="3" fillId="0" borderId="20" xfId="49" applyFont="1" applyFill="1" applyBorder="1" applyAlignment="1">
      <alignment horizontal="left"/>
    </xf>
    <xf numFmtId="0" fontId="3" fillId="0" borderId="22" xfId="49" applyFont="1" applyFill="1" applyBorder="1" applyAlignment="1">
      <alignment horizontal="left"/>
    </xf>
    <xf numFmtId="0" fontId="2" fillId="0" borderId="23" xfId="0" applyFont="1" applyFill="1" applyBorder="1" applyAlignment="1">
      <alignment horizontal="center"/>
    </xf>
    <xf numFmtId="172" fontId="3" fillId="0" borderId="20" xfId="0" applyNumberFormat="1" applyFont="1" applyFill="1" applyBorder="1" applyAlignment="1">
      <alignment vertical="center"/>
    </xf>
    <xf numFmtId="172" fontId="3" fillId="0" borderId="22" xfId="0" applyNumberFormat="1" applyFont="1" applyFill="1" applyBorder="1" applyAlignment="1">
      <alignment vertical="center"/>
    </xf>
    <xf numFmtId="172" fontId="2" fillId="0" borderId="23" xfId="0" applyNumberFormat="1" applyFont="1" applyFill="1" applyBorder="1"/>
    <xf numFmtId="3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9" fontId="0" fillId="0" borderId="11" xfId="0" applyNumberFormat="1" applyBorder="1"/>
    <xf numFmtId="3" fontId="2" fillId="0" borderId="11" xfId="0" applyNumberFormat="1" applyFont="1" applyBorder="1" applyAlignment="1">
      <alignment horizontal="center"/>
    </xf>
    <xf numFmtId="169" fontId="2" fillId="0" borderId="11" xfId="0" applyNumberFormat="1" applyFont="1" applyBorder="1"/>
    <xf numFmtId="175" fontId="0" fillId="0" borderId="11" xfId="0" applyNumberFormat="1" applyBorder="1"/>
    <xf numFmtId="0" fontId="2" fillId="0" borderId="11" xfId="0" applyFont="1" applyBorder="1" applyAlignment="1">
      <alignment horizontal="right"/>
    </xf>
    <xf numFmtId="167" fontId="0" fillId="0" borderId="11" xfId="56" applyNumberFormat="1" applyFont="1" applyBorder="1"/>
    <xf numFmtId="3" fontId="2" fillId="29" borderId="11" xfId="0" applyNumberFormat="1" applyFont="1" applyFill="1" applyBorder="1"/>
    <xf numFmtId="3" fontId="2" fillId="28" borderId="11" xfId="0" applyNumberFormat="1" applyFont="1" applyFill="1" applyBorder="1"/>
    <xf numFmtId="0" fontId="2" fillId="0" borderId="11" xfId="0" applyFont="1" applyFill="1" applyBorder="1" applyAlignment="1">
      <alignment horizontal="right"/>
    </xf>
    <xf numFmtId="168" fontId="0" fillId="0" borderId="11" xfId="0" applyNumberFormat="1" applyBorder="1"/>
    <xf numFmtId="0" fontId="11" fillId="0" borderId="11" xfId="0" applyFont="1" applyFill="1" applyBorder="1"/>
    <xf numFmtId="167" fontId="2" fillId="37" borderId="11" xfId="56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5" xfId="0" applyFill="1" applyBorder="1"/>
    <xf numFmtId="0" fontId="0" fillId="0" borderId="0" xfId="0" applyFill="1" applyBorder="1" applyAlignment="1">
      <alignment horizontal="right"/>
    </xf>
    <xf numFmtId="168" fontId="10" fillId="0" borderId="12" xfId="40" applyNumberFormat="1" applyFont="1" applyFill="1" applyBorder="1"/>
    <xf numFmtId="0" fontId="0" fillId="0" borderId="0" xfId="0" applyFill="1" applyBorder="1" applyAlignment="1">
      <alignment horizontal="center"/>
    </xf>
    <xf numFmtId="9" fontId="10" fillId="0" borderId="12" xfId="56" applyFont="1" applyFill="1" applyBorder="1"/>
    <xf numFmtId="168" fontId="0" fillId="0" borderId="0" xfId="0" applyNumberFormat="1" applyFill="1" applyBorder="1"/>
    <xf numFmtId="168" fontId="0" fillId="0" borderId="5" xfId="0" applyNumberFormat="1" applyFill="1" applyBorder="1"/>
    <xf numFmtId="168" fontId="2" fillId="0" borderId="11" xfId="0" applyNumberFormat="1" applyFont="1" applyFill="1" applyBorder="1"/>
    <xf numFmtId="0" fontId="2" fillId="24" borderId="73" xfId="0" applyFont="1" applyFill="1" applyBorder="1"/>
    <xf numFmtId="0" fontId="0" fillId="24" borderId="12" xfId="0" applyFill="1" applyBorder="1"/>
    <xf numFmtId="0" fontId="1" fillId="24" borderId="0" xfId="0" applyFont="1" applyFill="1" applyBorder="1" applyAlignment="1">
      <alignment horizontal="center"/>
    </xf>
    <xf numFmtId="0" fontId="1" fillId="24" borderId="12" xfId="0" applyFont="1" applyFill="1" applyBorder="1"/>
    <xf numFmtId="10" fontId="1" fillId="24" borderId="0" xfId="56" applyNumberFormat="1" applyFont="1" applyFill="1" applyBorder="1"/>
    <xf numFmtId="10" fontId="1" fillId="24" borderId="12" xfId="56" applyNumberFormat="1" applyFont="1" applyFill="1" applyBorder="1"/>
    <xf numFmtId="10" fontId="1" fillId="24" borderId="5" xfId="56" applyNumberFormat="1" applyFont="1" applyFill="1" applyBorder="1"/>
    <xf numFmtId="167" fontId="1" fillId="24" borderId="0" xfId="56" applyNumberFormat="1" applyFont="1" applyFill="1" applyBorder="1"/>
    <xf numFmtId="167" fontId="1" fillId="24" borderId="12" xfId="56" applyNumberFormat="1" applyFont="1" applyFill="1" applyBorder="1"/>
    <xf numFmtId="167" fontId="1" fillId="24" borderId="5" xfId="56" applyNumberFormat="1" applyFont="1" applyFill="1" applyBorder="1"/>
    <xf numFmtId="168" fontId="1" fillId="24" borderId="0" xfId="40" applyNumberFormat="1" applyFont="1" applyFill="1" applyBorder="1"/>
    <xf numFmtId="168" fontId="1" fillId="24" borderId="12" xfId="40" applyNumberFormat="1" applyFont="1" applyFill="1" applyBorder="1"/>
    <xf numFmtId="168" fontId="1" fillId="24" borderId="5" xfId="40" applyNumberFormat="1" applyFont="1" applyFill="1" applyBorder="1"/>
    <xf numFmtId="9" fontId="1" fillId="24" borderId="12" xfId="56" applyFont="1" applyFill="1" applyBorder="1"/>
    <xf numFmtId="168" fontId="1" fillId="24" borderId="0" xfId="0" applyNumberFormat="1" applyFont="1" applyFill="1" applyBorder="1"/>
    <xf numFmtId="168" fontId="1" fillId="24" borderId="12" xfId="0" applyNumberFormat="1" applyFont="1" applyFill="1" applyBorder="1"/>
    <xf numFmtId="168" fontId="1" fillId="24" borderId="5" xfId="0" applyNumberFormat="1" applyFont="1" applyFill="1" applyBorder="1"/>
    <xf numFmtId="0" fontId="1" fillId="24" borderId="0" xfId="0" applyFont="1" applyFill="1" applyBorder="1"/>
    <xf numFmtId="0" fontId="1" fillId="24" borderId="5" xfId="0" applyFont="1" applyFill="1" applyBorder="1"/>
    <xf numFmtId="0" fontId="2" fillId="24" borderId="12" xfId="0" applyFont="1" applyFill="1" applyBorder="1"/>
    <xf numFmtId="0" fontId="0" fillId="24" borderId="0" xfId="0" applyFill="1" applyBorder="1"/>
    <xf numFmtId="0" fontId="0" fillId="24" borderId="5" xfId="0" applyFill="1" applyBorder="1"/>
    <xf numFmtId="0" fontId="2" fillId="24" borderId="60" xfId="0" applyFont="1" applyFill="1" applyBorder="1"/>
    <xf numFmtId="0" fontId="2" fillId="24" borderId="52" xfId="0" applyFont="1" applyFill="1" applyBorder="1" applyAlignment="1">
      <alignment horizontal="right"/>
    </xf>
    <xf numFmtId="168" fontId="2" fillId="24" borderId="60" xfId="0" applyNumberFormat="1" applyFont="1" applyFill="1" applyBorder="1"/>
    <xf numFmtId="168" fontId="2" fillId="24" borderId="52" xfId="0" applyNumberFormat="1" applyFont="1" applyFill="1" applyBorder="1"/>
    <xf numFmtId="168" fontId="2" fillId="24" borderId="53" xfId="0" applyNumberFormat="1" applyFont="1" applyFill="1" applyBorder="1"/>
    <xf numFmtId="0" fontId="2" fillId="24" borderId="0" xfId="0" applyFont="1" applyFill="1" applyBorder="1" applyAlignment="1">
      <alignment horizontal="right"/>
    </xf>
    <xf numFmtId="168" fontId="2" fillId="24" borderId="12" xfId="0" applyNumberFormat="1" applyFont="1" applyFill="1" applyBorder="1"/>
    <xf numFmtId="168" fontId="2" fillId="24" borderId="0" xfId="0" applyNumberFormat="1" applyFont="1" applyFill="1" applyBorder="1"/>
    <xf numFmtId="168" fontId="2" fillId="24" borderId="5" xfId="0" applyNumberFormat="1" applyFont="1" applyFill="1" applyBorder="1"/>
    <xf numFmtId="0" fontId="2" fillId="24" borderId="62" xfId="0" applyFont="1" applyFill="1" applyBorder="1"/>
    <xf numFmtId="0" fontId="2" fillId="24" borderId="55" xfId="0" applyFont="1" applyFill="1" applyBorder="1" applyAlignment="1">
      <alignment horizontal="right"/>
    </xf>
    <xf numFmtId="168" fontId="2" fillId="24" borderId="62" xfId="0" applyNumberFormat="1" applyFont="1" applyFill="1" applyBorder="1"/>
    <xf numFmtId="168" fontId="2" fillId="24" borderId="55" xfId="0" applyNumberFormat="1" applyFont="1" applyFill="1" applyBorder="1"/>
    <xf numFmtId="168" fontId="2" fillId="24" borderId="56" xfId="0" applyNumberFormat="1" applyFont="1" applyFill="1" applyBorder="1"/>
    <xf numFmtId="168" fontId="0" fillId="27" borderId="0" xfId="0" applyNumberFormat="1" applyFill="1"/>
    <xf numFmtId="0" fontId="2" fillId="24" borderId="74" xfId="0" applyFont="1" applyFill="1" applyBorder="1"/>
    <xf numFmtId="0" fontId="4" fillId="24" borderId="75" xfId="0" applyFont="1" applyFill="1" applyBorder="1" applyAlignment="1">
      <alignment horizontal="center"/>
    </xf>
    <xf numFmtId="0" fontId="4" fillId="24" borderId="76" xfId="0" applyFont="1" applyFill="1" applyBorder="1" applyAlignment="1">
      <alignment horizontal="center"/>
    </xf>
    <xf numFmtId="0" fontId="2" fillId="24" borderId="76" xfId="0" applyFont="1" applyFill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0" fontId="2" fillId="24" borderId="26" xfId="0" applyFont="1" applyFill="1" applyBorder="1"/>
    <xf numFmtId="0" fontId="0" fillId="24" borderId="77" xfId="0" applyFill="1" applyBorder="1" applyAlignment="1">
      <alignment horizontal="center"/>
    </xf>
    <xf numFmtId="0" fontId="2" fillId="24" borderId="75" xfId="0" applyFont="1" applyFill="1" applyBorder="1" applyAlignment="1">
      <alignment horizontal="center"/>
    </xf>
    <xf numFmtId="0" fontId="2" fillId="24" borderId="78" xfId="0" applyFont="1" applyFill="1" applyBorder="1"/>
    <xf numFmtId="0" fontId="0" fillId="24" borderId="56" xfId="0" applyFill="1" applyBorder="1" applyAlignment="1">
      <alignment horizontal="center"/>
    </xf>
    <xf numFmtId="0" fontId="2" fillId="24" borderId="62" xfId="0" applyFont="1" applyFill="1" applyBorder="1" applyAlignment="1">
      <alignment wrapText="1"/>
    </xf>
    <xf numFmtId="0" fontId="2" fillId="24" borderId="79" xfId="0" applyFont="1" applyFill="1" applyBorder="1"/>
    <xf numFmtId="0" fontId="2" fillId="24" borderId="80" xfId="0" applyFont="1" applyFill="1" applyBorder="1"/>
    <xf numFmtId="0" fontId="0" fillId="24" borderId="73" xfId="0" applyFill="1" applyBorder="1" applyAlignment="1">
      <alignment horizontal="center"/>
    </xf>
    <xf numFmtId="168" fontId="2" fillId="24" borderId="11" xfId="40" applyNumberFormat="1" applyFont="1" applyFill="1" applyBorder="1"/>
    <xf numFmtId="168" fontId="2" fillId="24" borderId="31" xfId="40" applyNumberFormat="1" applyFont="1" applyFill="1" applyBorder="1"/>
    <xf numFmtId="0" fontId="0" fillId="24" borderId="14" xfId="0" applyFill="1" applyBorder="1"/>
    <xf numFmtId="0" fontId="0" fillId="24" borderId="5" xfId="0" applyFill="1" applyBorder="1" applyAlignment="1">
      <alignment horizontal="center"/>
    </xf>
    <xf numFmtId="168" fontId="0" fillId="24" borderId="12" xfId="40" applyNumberFormat="1" applyFont="1" applyFill="1" applyBorder="1"/>
    <xf numFmtId="168" fontId="0" fillId="24" borderId="71" xfId="40" applyNumberFormat="1" applyFont="1" applyFill="1" applyBorder="1"/>
    <xf numFmtId="168" fontId="3" fillId="24" borderId="12" xfId="40" applyNumberFormat="1" applyFont="1" applyFill="1" applyBorder="1"/>
    <xf numFmtId="0" fontId="3" fillId="24" borderId="14" xfId="0" applyFont="1" applyFill="1" applyBorder="1"/>
    <xf numFmtId="1" fontId="3" fillId="24" borderId="12" xfId="0" applyNumberFormat="1" applyFont="1" applyFill="1" applyBorder="1"/>
    <xf numFmtId="1" fontId="3" fillId="24" borderId="71" xfId="0" applyNumberFormat="1" applyFont="1" applyFill="1" applyBorder="1"/>
    <xf numFmtId="168" fontId="3" fillId="24" borderId="71" xfId="40" applyNumberFormat="1" applyFont="1" applyFill="1" applyBorder="1"/>
    <xf numFmtId="0" fontId="4" fillId="24" borderId="80" xfId="0" applyFont="1" applyFill="1" applyBorder="1"/>
    <xf numFmtId="168" fontId="0" fillId="24" borderId="5" xfId="40" applyNumberFormat="1" applyFont="1" applyFill="1" applyBorder="1" applyAlignment="1">
      <alignment horizontal="center"/>
    </xf>
    <xf numFmtId="168" fontId="0" fillId="24" borderId="40" xfId="40" applyNumberFormat="1" applyFont="1" applyFill="1" applyBorder="1" applyAlignment="1">
      <alignment horizontal="center"/>
    </xf>
    <xf numFmtId="1" fontId="0" fillId="24" borderId="12" xfId="0" applyNumberFormat="1" applyFill="1" applyBorder="1"/>
    <xf numFmtId="1" fontId="0" fillId="24" borderId="62" xfId="0" applyNumberFormat="1" applyFill="1" applyBorder="1"/>
    <xf numFmtId="1" fontId="0" fillId="24" borderId="71" xfId="0" applyNumberFormat="1" applyFill="1" applyBorder="1"/>
    <xf numFmtId="0" fontId="2" fillId="24" borderId="81" xfId="0" applyFont="1" applyFill="1" applyBorder="1"/>
    <xf numFmtId="0" fontId="0" fillId="24" borderId="82" xfId="0" applyFill="1" applyBorder="1"/>
    <xf numFmtId="168" fontId="2" fillId="24" borderId="83" xfId="40" applyNumberFormat="1" applyFont="1" applyFill="1" applyBorder="1"/>
    <xf numFmtId="168" fontId="2" fillId="24" borderId="34" xfId="40" applyNumberFormat="1" applyFont="1" applyFill="1" applyBorder="1"/>
    <xf numFmtId="0" fontId="2" fillId="24" borderId="0" xfId="0" applyFont="1" applyFill="1" applyBorder="1"/>
    <xf numFmtId="0" fontId="0" fillId="24" borderId="84" xfId="0" applyFill="1" applyBorder="1"/>
    <xf numFmtId="0" fontId="0" fillId="24" borderId="77" xfId="0" applyFill="1" applyBorder="1"/>
    <xf numFmtId="0" fontId="8" fillId="24" borderId="77" xfId="0" applyFont="1" applyFill="1" applyBorder="1"/>
    <xf numFmtId="0" fontId="8" fillId="24" borderId="75" xfId="0" applyFont="1" applyFill="1" applyBorder="1"/>
    <xf numFmtId="0" fontId="8" fillId="24" borderId="85" xfId="0" applyFont="1" applyFill="1" applyBorder="1"/>
    <xf numFmtId="0" fontId="0" fillId="24" borderId="52" xfId="0" applyFill="1" applyBorder="1"/>
    <xf numFmtId="0" fontId="0" fillId="24" borderId="53" xfId="0" applyFill="1" applyBorder="1"/>
    <xf numFmtId="0" fontId="7" fillId="24" borderId="53" xfId="0" applyFont="1" applyFill="1" applyBorder="1"/>
    <xf numFmtId="1" fontId="7" fillId="24" borderId="60" xfId="0" applyNumberFormat="1" applyFont="1" applyFill="1" applyBorder="1"/>
    <xf numFmtId="1" fontId="7" fillId="24" borderId="37" xfId="0" applyNumberFormat="1" applyFont="1" applyFill="1" applyBorder="1"/>
    <xf numFmtId="168" fontId="3" fillId="24" borderId="5" xfId="40" applyNumberFormat="1" applyFont="1" applyFill="1" applyBorder="1"/>
    <xf numFmtId="168" fontId="3" fillId="24" borderId="40" xfId="40" applyNumberFormat="1" applyFont="1" applyFill="1" applyBorder="1"/>
    <xf numFmtId="0" fontId="3" fillId="24" borderId="5" xfId="0" applyFont="1" applyFill="1" applyBorder="1"/>
    <xf numFmtId="0" fontId="3" fillId="24" borderId="40" xfId="0" applyFont="1" applyFill="1" applyBorder="1"/>
    <xf numFmtId="0" fontId="2" fillId="24" borderId="5" xfId="0" applyFont="1" applyFill="1" applyBorder="1" applyAlignment="1">
      <alignment horizontal="right"/>
    </xf>
    <xf numFmtId="0" fontId="2" fillId="24" borderId="40" xfId="0" applyFont="1" applyFill="1" applyBorder="1" applyAlignment="1">
      <alignment horizontal="right"/>
    </xf>
    <xf numFmtId="184" fontId="3" fillId="24" borderId="5" xfId="40" applyNumberFormat="1" applyFont="1" applyFill="1" applyBorder="1"/>
    <xf numFmtId="184" fontId="3" fillId="24" borderId="12" xfId="40" applyNumberFormat="1" applyFont="1" applyFill="1" applyBorder="1"/>
    <xf numFmtId="184" fontId="3" fillId="24" borderId="71" xfId="40" applyNumberFormat="1" applyFont="1" applyFill="1" applyBorder="1"/>
    <xf numFmtId="0" fontId="7" fillId="24" borderId="5" xfId="0" applyFont="1" applyFill="1" applyBorder="1"/>
    <xf numFmtId="0" fontId="7" fillId="24" borderId="12" xfId="0" applyFont="1" applyFill="1" applyBorder="1"/>
    <xf numFmtId="0" fontId="7" fillId="24" borderId="40" xfId="0" applyFont="1" applyFill="1" applyBorder="1"/>
    <xf numFmtId="0" fontId="0" fillId="24" borderId="64" xfId="0" applyFill="1" applyBorder="1"/>
    <xf numFmtId="0" fontId="8" fillId="24" borderId="86" xfId="0" applyFont="1" applyFill="1" applyBorder="1" applyAlignment="1">
      <alignment horizontal="center"/>
    </xf>
    <xf numFmtId="0" fontId="0" fillId="24" borderId="76" xfId="0" applyFill="1" applyBorder="1"/>
    <xf numFmtId="0" fontId="7" fillId="24" borderId="86" xfId="0" applyFont="1" applyFill="1" applyBorder="1"/>
    <xf numFmtId="0" fontId="7" fillId="24" borderId="76" xfId="0" applyFont="1" applyFill="1" applyBorder="1"/>
    <xf numFmtId="2" fontId="7" fillId="24" borderId="76" xfId="0" applyNumberFormat="1" applyFont="1" applyFill="1" applyBorder="1"/>
    <xf numFmtId="2" fontId="7" fillId="24" borderId="58" xfId="0" applyNumberFormat="1" applyFont="1" applyFill="1" applyBorder="1"/>
    <xf numFmtId="168" fontId="8" fillId="24" borderId="5" xfId="40" applyNumberFormat="1" applyFont="1" applyFill="1" applyBorder="1"/>
    <xf numFmtId="168" fontId="0" fillId="24" borderId="12" xfId="0" applyNumberFormat="1" applyFill="1" applyBorder="1"/>
    <xf numFmtId="168" fontId="0" fillId="24" borderId="71" xfId="0" applyNumberFormat="1" applyFill="1" applyBorder="1"/>
    <xf numFmtId="0" fontId="0" fillId="24" borderId="16" xfId="0" applyFill="1" applyBorder="1"/>
    <xf numFmtId="168" fontId="8" fillId="24" borderId="87" xfId="40" applyNumberFormat="1" applyFont="1" applyFill="1" applyBorder="1"/>
    <xf numFmtId="168" fontId="8" fillId="24" borderId="88" xfId="0" applyNumberFormat="1" applyFont="1" applyFill="1" applyBorder="1"/>
    <xf numFmtId="168" fontId="8" fillId="24" borderId="18" xfId="0" applyNumberFormat="1" applyFont="1" applyFill="1" applyBorder="1"/>
    <xf numFmtId="168" fontId="0" fillId="24" borderId="0" xfId="0" applyNumberFormat="1" applyFill="1" applyBorder="1"/>
    <xf numFmtId="2" fontId="2" fillId="24" borderId="0" xfId="0" applyNumberFormat="1" applyFont="1" applyFill="1" applyBorder="1"/>
    <xf numFmtId="168" fontId="0" fillId="24" borderId="0" xfId="0" applyNumberFormat="1" applyFill="1"/>
    <xf numFmtId="1" fontId="0" fillId="0" borderId="0" xfId="0" applyNumberFormat="1"/>
    <xf numFmtId="166" fontId="52" fillId="0" borderId="0" xfId="40" applyFont="1" applyAlignment="1">
      <alignment horizontal="center"/>
    </xf>
    <xf numFmtId="0" fontId="4" fillId="24" borderId="89" xfId="0" applyFont="1" applyFill="1" applyBorder="1" applyAlignment="1">
      <alignment horizontal="center"/>
    </xf>
    <xf numFmtId="10" fontId="3" fillId="24" borderId="60" xfId="56" applyNumberFormat="1" applyFont="1" applyFill="1" applyBorder="1" applyAlignment="1">
      <alignment horizontal="center"/>
    </xf>
    <xf numFmtId="10" fontId="3" fillId="24" borderId="12" xfId="56" applyNumberFormat="1" applyFont="1" applyFill="1" applyBorder="1" applyAlignment="1">
      <alignment horizontal="center"/>
    </xf>
    <xf numFmtId="10" fontId="0" fillId="24" borderId="12" xfId="0" applyNumberFormat="1" applyFill="1" applyBorder="1"/>
    <xf numFmtId="0" fontId="5" fillId="24" borderId="12" xfId="0" applyFont="1" applyFill="1" applyBorder="1" applyAlignment="1">
      <alignment horizontal="center"/>
    </xf>
    <xf numFmtId="0" fontId="5" fillId="24" borderId="60" xfId="0" applyFont="1" applyFill="1" applyBorder="1" applyAlignment="1">
      <alignment horizontal="center"/>
    </xf>
    <xf numFmtId="0" fontId="5" fillId="24" borderId="62" xfId="0" applyFont="1" applyFill="1" applyBorder="1" applyAlignment="1">
      <alignment horizontal="center"/>
    </xf>
    <xf numFmtId="10" fontId="3" fillId="24" borderId="62" xfId="0" applyNumberFormat="1" applyFont="1" applyFill="1" applyBorder="1" applyAlignment="1">
      <alignment horizontal="center"/>
    </xf>
    <xf numFmtId="10" fontId="3" fillId="24" borderId="62" xfId="56" applyNumberFormat="1" applyFont="1" applyFill="1" applyBorder="1" applyAlignment="1">
      <alignment horizontal="center"/>
    </xf>
    <xf numFmtId="0" fontId="0" fillId="24" borderId="90" xfId="0" applyFill="1" applyBorder="1"/>
    <xf numFmtId="10" fontId="3" fillId="24" borderId="36" xfId="56" applyNumberFormat="1" applyFont="1" applyFill="1" applyBorder="1" applyAlignment="1">
      <alignment horizontal="center"/>
    </xf>
    <xf numFmtId="10" fontId="3" fillId="24" borderId="71" xfId="56" applyNumberFormat="1" applyFont="1" applyFill="1" applyBorder="1" applyAlignment="1">
      <alignment horizontal="center"/>
    </xf>
    <xf numFmtId="0" fontId="0" fillId="24" borderId="78" xfId="0" applyFill="1" applyBorder="1"/>
    <xf numFmtId="10" fontId="3" fillId="24" borderId="79" xfId="56" applyNumberFormat="1" applyFont="1" applyFill="1" applyBorder="1" applyAlignment="1">
      <alignment horizontal="center"/>
    </xf>
    <xf numFmtId="0" fontId="2" fillId="24" borderId="35" xfId="0" applyFont="1" applyFill="1" applyBorder="1"/>
    <xf numFmtId="0" fontId="0" fillId="24" borderId="71" xfId="0" applyFill="1" applyBorder="1"/>
    <xf numFmtId="0" fontId="0" fillId="24" borderId="91" xfId="0" applyFill="1" applyBorder="1"/>
    <xf numFmtId="0" fontId="2" fillId="24" borderId="91" xfId="0" applyFont="1" applyFill="1" applyBorder="1"/>
    <xf numFmtId="0" fontId="0" fillId="24" borderId="43" xfId="0" applyFill="1" applyBorder="1"/>
    <xf numFmtId="0" fontId="5" fillId="24" borderId="88" xfId="0" applyFont="1" applyFill="1" applyBorder="1" applyAlignment="1">
      <alignment horizontal="center"/>
    </xf>
    <xf numFmtId="168" fontId="3" fillId="24" borderId="88" xfId="40" applyNumberFormat="1" applyFont="1" applyFill="1" applyBorder="1" applyAlignment="1">
      <alignment horizontal="right"/>
    </xf>
    <xf numFmtId="168" fontId="3" fillId="24" borderId="18" xfId="40" applyNumberFormat="1" applyFont="1" applyFill="1" applyBorder="1" applyAlignment="1">
      <alignment horizontal="right"/>
    </xf>
    <xf numFmtId="0" fontId="2" fillId="0" borderId="65" xfId="0" applyFont="1" applyFill="1" applyBorder="1" applyAlignment="1">
      <alignment horizontal="center"/>
    </xf>
    <xf numFmtId="0" fontId="2" fillId="0" borderId="65" xfId="0" applyFont="1" applyFill="1" applyBorder="1"/>
    <xf numFmtId="0" fontId="2" fillId="0" borderId="73" xfId="0" applyFont="1" applyFill="1" applyBorder="1"/>
    <xf numFmtId="0" fontId="0" fillId="0" borderId="62" xfId="0" applyFill="1" applyBorder="1"/>
    <xf numFmtId="0" fontId="0" fillId="0" borderId="55" xfId="0" applyFill="1" applyBorder="1"/>
    <xf numFmtId="0" fontId="0" fillId="0" borderId="56" xfId="0" applyFill="1" applyBorder="1"/>
    <xf numFmtId="3" fontId="51" fillId="24" borderId="92" xfId="0" applyNumberFormat="1" applyFont="1" applyFill="1" applyBorder="1"/>
    <xf numFmtId="0" fontId="51" fillId="24" borderId="16" xfId="0" applyFont="1" applyFill="1" applyBorder="1" applyAlignment="1">
      <alignment horizontal="left" vertical="center" wrapText="1"/>
    </xf>
    <xf numFmtId="0" fontId="51" fillId="24" borderId="16" xfId="0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/>
    </xf>
    <xf numFmtId="0" fontId="4" fillId="24" borderId="11" xfId="0" applyFont="1" applyFill="1" applyBorder="1" applyAlignment="1">
      <alignment horizontal="left"/>
    </xf>
    <xf numFmtId="3" fontId="6" fillId="24" borderId="11" xfId="0" applyNumberFormat="1" applyFont="1" applyFill="1" applyBorder="1" applyAlignment="1">
      <alignment horizontal="center"/>
    </xf>
    <xf numFmtId="0" fontId="16" fillId="24" borderId="11" xfId="0" applyFont="1" applyFill="1" applyBorder="1" applyAlignment="1">
      <alignment horizontal="center"/>
    </xf>
    <xf numFmtId="167" fontId="16" fillId="24" borderId="11" xfId="56" applyNumberFormat="1" applyFont="1" applyFill="1" applyBorder="1" applyAlignment="1">
      <alignment horizontal="center"/>
    </xf>
    <xf numFmtId="0" fontId="17" fillId="24" borderId="11" xfId="0" applyFont="1" applyFill="1" applyBorder="1" applyAlignment="1">
      <alignment horizontal="center"/>
    </xf>
    <xf numFmtId="0" fontId="16" fillId="24" borderId="11" xfId="0" applyFont="1" applyFill="1" applyBorder="1" applyAlignment="1">
      <alignment horizontal="left"/>
    </xf>
    <xf numFmtId="185" fontId="10" fillId="0" borderId="0" xfId="44" applyNumberFormat="1" applyFont="1" applyFill="1"/>
    <xf numFmtId="0" fontId="2" fillId="0" borderId="0" xfId="0" applyFont="1" applyAlignment="1">
      <alignment horizontal="center" vertical="center" textRotation="90"/>
    </xf>
    <xf numFmtId="182" fontId="8" fillId="0" borderId="19" xfId="0" applyNumberFormat="1" applyFont="1" applyFill="1" applyBorder="1"/>
    <xf numFmtId="178" fontId="0" fillId="0" borderId="0" xfId="40" applyNumberFormat="1" applyFont="1" applyFill="1"/>
    <xf numFmtId="178" fontId="3" fillId="0" borderId="0" xfId="44" applyNumberFormat="1" applyFont="1" applyFill="1"/>
    <xf numFmtId="2" fontId="2" fillId="0" borderId="41" xfId="0" applyNumberFormat="1" applyFont="1" applyBorder="1"/>
    <xf numFmtId="174" fontId="3" fillId="24" borderId="0" xfId="40" applyNumberFormat="1" applyFont="1" applyFill="1" applyBorder="1"/>
    <xf numFmtId="174" fontId="3" fillId="0" borderId="0" xfId="40" applyNumberFormat="1" applyFont="1" applyFill="1"/>
    <xf numFmtId="174" fontId="2" fillId="24" borderId="65" xfId="40" applyNumberFormat="1" applyFont="1" applyFill="1" applyBorder="1"/>
    <xf numFmtId="174" fontId="2" fillId="24" borderId="63" xfId="40" applyNumberFormat="1" applyFont="1" applyFill="1" applyBorder="1"/>
    <xf numFmtId="0" fontId="8" fillId="24" borderId="15" xfId="0" applyFont="1" applyFill="1" applyBorder="1" applyAlignment="1">
      <alignment horizontal="center"/>
    </xf>
    <xf numFmtId="0" fontId="23" fillId="24" borderId="67" xfId="0" applyFont="1" applyFill="1" applyBorder="1" applyAlignment="1">
      <alignment horizontal="center"/>
    </xf>
    <xf numFmtId="0" fontId="23" fillId="24" borderId="41" xfId="0" applyFont="1" applyFill="1" applyBorder="1" applyAlignment="1">
      <alignment horizontal="center"/>
    </xf>
    <xf numFmtId="0" fontId="23" fillId="24" borderId="38" xfId="0" applyFont="1" applyFill="1" applyBorder="1" applyAlignment="1">
      <alignment horizontal="center"/>
    </xf>
    <xf numFmtId="0" fontId="23" fillId="24" borderId="14" xfId="0" applyFont="1" applyFill="1" applyBorder="1"/>
    <xf numFmtId="0" fontId="24" fillId="24" borderId="12" xfId="0" applyFont="1" applyFill="1" applyBorder="1"/>
    <xf numFmtId="0" fontId="24" fillId="24" borderId="0" xfId="0" applyFont="1" applyFill="1" applyBorder="1"/>
    <xf numFmtId="0" fontId="24" fillId="24" borderId="40" xfId="0" applyFont="1" applyFill="1" applyBorder="1"/>
    <xf numFmtId="0" fontId="24" fillId="24" borderId="14" xfId="0" applyFont="1" applyFill="1" applyBorder="1"/>
    <xf numFmtId="174" fontId="8" fillId="24" borderId="12" xfId="0" applyNumberFormat="1" applyFont="1" applyFill="1" applyBorder="1"/>
    <xf numFmtId="174" fontId="8" fillId="24" borderId="0" xfId="0" applyNumberFormat="1" applyFont="1" applyFill="1" applyBorder="1"/>
    <xf numFmtId="174" fontId="23" fillId="24" borderId="40" xfId="0" applyNumberFormat="1" applyFont="1" applyFill="1" applyBorder="1"/>
    <xf numFmtId="0" fontId="93" fillId="24" borderId="14" xfId="0" applyFont="1" applyFill="1" applyBorder="1"/>
    <xf numFmtId="174" fontId="24" fillId="24" borderId="12" xfId="0" applyNumberFormat="1" applyFont="1" applyFill="1" applyBorder="1"/>
    <xf numFmtId="174" fontId="24" fillId="24" borderId="0" xfId="0" applyNumberFormat="1" applyFont="1" applyFill="1" applyBorder="1"/>
    <xf numFmtId="174" fontId="24" fillId="24" borderId="40" xfId="0" applyNumberFormat="1" applyFont="1" applyFill="1" applyBorder="1"/>
    <xf numFmtId="174" fontId="24" fillId="24" borderId="12" xfId="0" applyNumberFormat="1" applyFont="1" applyFill="1" applyBorder="1" applyAlignment="1">
      <alignment horizontal="right"/>
    </xf>
    <xf numFmtId="174" fontId="24" fillId="24" borderId="0" xfId="0" applyNumberFormat="1" applyFont="1" applyFill="1" applyBorder="1" applyAlignment="1">
      <alignment horizontal="right"/>
    </xf>
    <xf numFmtId="174" fontId="24" fillId="24" borderId="40" xfId="0" applyNumberFormat="1" applyFont="1" applyFill="1" applyBorder="1" applyAlignment="1">
      <alignment horizontal="right"/>
    </xf>
    <xf numFmtId="174" fontId="8" fillId="24" borderId="40" xfId="0" applyNumberFormat="1" applyFont="1" applyFill="1" applyBorder="1"/>
    <xf numFmtId="174" fontId="8" fillId="24" borderId="12" xfId="0" applyNumberFormat="1" applyFont="1" applyFill="1" applyBorder="1" applyAlignment="1">
      <alignment horizontal="right"/>
    </xf>
    <xf numFmtId="174" fontId="8" fillId="24" borderId="0" xfId="0" applyNumberFormat="1" applyFont="1" applyFill="1" applyBorder="1" applyAlignment="1">
      <alignment horizontal="right"/>
    </xf>
    <xf numFmtId="0" fontId="23" fillId="24" borderId="15" xfId="0" applyFont="1" applyFill="1" applyBorder="1"/>
    <xf numFmtId="182" fontId="8" fillId="24" borderId="67" xfId="0" applyNumberFormat="1" applyFont="1" applyFill="1" applyBorder="1"/>
    <xf numFmtId="182" fontId="8" fillId="24" borderId="41" xfId="0" applyNumberFormat="1" applyFont="1" applyFill="1" applyBorder="1"/>
    <xf numFmtId="182" fontId="8" fillId="24" borderId="38" xfId="0" applyNumberFormat="1" applyFont="1" applyFill="1" applyBorder="1"/>
    <xf numFmtId="0" fontId="2" fillId="24" borderId="74" xfId="0" applyFont="1" applyFill="1" applyBorder="1" applyAlignment="1">
      <alignment horizontal="center"/>
    </xf>
    <xf numFmtId="0" fontId="6" fillId="24" borderId="91" xfId="0" applyFont="1" applyFill="1" applyBorder="1"/>
    <xf numFmtId="0" fontId="3" fillId="24" borderId="91" xfId="0" applyFont="1" applyFill="1" applyBorder="1"/>
    <xf numFmtId="0" fontId="4" fillId="24" borderId="91" xfId="0" applyFont="1" applyFill="1" applyBorder="1"/>
    <xf numFmtId="0" fontId="9" fillId="24" borderId="91" xfId="0" applyFont="1" applyFill="1" applyBorder="1"/>
    <xf numFmtId="0" fontId="2" fillId="24" borderId="93" xfId="0" applyFont="1" applyFill="1" applyBorder="1"/>
    <xf numFmtId="0" fontId="2" fillId="24" borderId="43" xfId="0" applyFont="1" applyFill="1" applyBorder="1"/>
    <xf numFmtId="168" fontId="3" fillId="24" borderId="12" xfId="40" applyNumberFormat="1" applyFont="1" applyFill="1" applyBorder="1" applyAlignment="1">
      <alignment horizontal="center"/>
    </xf>
    <xf numFmtId="168" fontId="3" fillId="24" borderId="88" xfId="40" applyNumberFormat="1" applyFont="1" applyFill="1" applyBorder="1" applyAlignment="1">
      <alignment horizontal="center"/>
    </xf>
    <xf numFmtId="0" fontId="0" fillId="24" borderId="0" xfId="0" applyFill="1" applyAlignment="1">
      <alignment horizontal="center" vertical="center" wrapText="1"/>
    </xf>
    <xf numFmtId="0" fontId="0" fillId="24" borderId="15" xfId="0" applyFill="1" applyBorder="1"/>
    <xf numFmtId="0" fontId="2" fillId="24" borderId="41" xfId="0" applyFont="1" applyFill="1" applyBorder="1" applyAlignment="1">
      <alignment horizontal="center"/>
    </xf>
    <xf numFmtId="0" fontId="0" fillId="24" borderId="38" xfId="0" applyFill="1" applyBorder="1"/>
    <xf numFmtId="0" fontId="2" fillId="24" borderId="15" xfId="0" applyFont="1" applyFill="1" applyBorder="1" applyAlignment="1">
      <alignment horizontal="center" vertical="center" wrapText="1"/>
    </xf>
    <xf numFmtId="0" fontId="2" fillId="24" borderId="21" xfId="0" applyFont="1" applyFill="1" applyBorder="1" applyAlignment="1">
      <alignment horizontal="center" vertical="center" wrapText="1"/>
    </xf>
    <xf numFmtId="0" fontId="2" fillId="24" borderId="44" xfId="0" applyFont="1" applyFill="1" applyBorder="1" applyAlignment="1">
      <alignment horizontal="center" vertical="center" wrapText="1"/>
    </xf>
    <xf numFmtId="0" fontId="2" fillId="24" borderId="18" xfId="0" applyFont="1" applyFill="1" applyBorder="1" applyAlignment="1">
      <alignment horizontal="center" vertical="center" wrapText="1"/>
    </xf>
    <xf numFmtId="0" fontId="2" fillId="24" borderId="43" xfId="0" applyFont="1" applyFill="1" applyBorder="1" applyAlignment="1">
      <alignment horizontal="center" vertical="center" wrapText="1"/>
    </xf>
    <xf numFmtId="0" fontId="2" fillId="24" borderId="22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 wrapText="1"/>
    </xf>
    <xf numFmtId="172" fontId="2" fillId="24" borderId="0" xfId="0" applyNumberFormat="1" applyFont="1" applyFill="1" applyBorder="1" applyAlignment="1">
      <alignment horizontal="center" vertical="center" wrapText="1"/>
    </xf>
    <xf numFmtId="0" fontId="0" fillId="24" borderId="40" xfId="0" applyFill="1" applyBorder="1" applyAlignment="1">
      <alignment horizontal="center" vertical="center" wrapText="1"/>
    </xf>
    <xf numFmtId="172" fontId="1" fillId="24" borderId="93" xfId="0" applyNumberFormat="1" applyFont="1" applyFill="1" applyBorder="1" applyAlignment="1">
      <alignment horizontal="center" vertical="center" wrapText="1"/>
    </xf>
    <xf numFmtId="172" fontId="1" fillId="24" borderId="64" xfId="0" applyNumberFormat="1" applyFont="1" applyFill="1" applyBorder="1" applyAlignment="1">
      <alignment horizontal="center" vertical="center" wrapText="1"/>
    </xf>
    <xf numFmtId="172" fontId="1" fillId="24" borderId="91" xfId="0" applyNumberFormat="1" applyFont="1" applyFill="1" applyBorder="1" applyAlignment="1">
      <alignment horizontal="center" vertical="center" wrapText="1"/>
    </xf>
    <xf numFmtId="172" fontId="1" fillId="24" borderId="0" xfId="0" applyNumberFormat="1" applyFont="1" applyFill="1" applyBorder="1" applyAlignment="1">
      <alignment horizontal="center" vertical="center" wrapText="1"/>
    </xf>
    <xf numFmtId="172" fontId="1" fillId="24" borderId="12" xfId="45" applyNumberFormat="1" applyFont="1" applyFill="1" applyBorder="1" applyAlignment="1">
      <alignment horizontal="center" vertical="center" wrapText="1"/>
    </xf>
    <xf numFmtId="172" fontId="1" fillId="24" borderId="0" xfId="45" applyNumberFormat="1" applyFont="1" applyFill="1" applyBorder="1" applyAlignment="1">
      <alignment horizontal="center" vertical="center" wrapText="1"/>
    </xf>
    <xf numFmtId="172" fontId="1" fillId="24" borderId="40" xfId="45" applyNumberFormat="1" applyFont="1" applyFill="1" applyBorder="1" applyAlignment="1">
      <alignment horizontal="center" vertical="center" wrapText="1"/>
    </xf>
    <xf numFmtId="172" fontId="1" fillId="24" borderId="43" xfId="0" applyNumberFormat="1" applyFont="1" applyFill="1" applyBorder="1" applyAlignment="1">
      <alignment horizontal="center" vertical="center" wrapText="1"/>
    </xf>
    <xf numFmtId="49" fontId="1" fillId="24" borderId="16" xfId="0" applyNumberFormat="1" applyFont="1" applyFill="1" applyBorder="1" applyAlignment="1">
      <alignment horizontal="center" vertical="center" wrapText="1"/>
    </xf>
    <xf numFmtId="172" fontId="1" fillId="24" borderId="88" xfId="45" applyNumberFormat="1" applyFont="1" applyFill="1" applyBorder="1" applyAlignment="1">
      <alignment horizontal="center" vertical="center" wrapText="1"/>
    </xf>
    <xf numFmtId="172" fontId="1" fillId="24" borderId="16" xfId="45" applyNumberFormat="1" applyFont="1" applyFill="1" applyBorder="1" applyAlignment="1">
      <alignment horizontal="center" vertical="center" wrapText="1"/>
    </xf>
    <xf numFmtId="172" fontId="1" fillId="24" borderId="42" xfId="45" applyNumberFormat="1" applyFont="1" applyFill="1" applyBorder="1" applyAlignment="1">
      <alignment horizontal="center" vertical="center" wrapText="1"/>
    </xf>
    <xf numFmtId="172" fontId="52" fillId="24" borderId="28" xfId="0" applyNumberFormat="1" applyFont="1" applyFill="1" applyBorder="1" applyAlignment="1">
      <alignment horizontal="center" vertical="center" wrapText="1"/>
    </xf>
    <xf numFmtId="172" fontId="52" fillId="24" borderId="94" xfId="0" applyNumberFormat="1" applyFont="1" applyFill="1" applyBorder="1" applyAlignment="1">
      <alignment horizontal="center" vertical="center" wrapText="1"/>
    </xf>
    <xf numFmtId="172" fontId="52" fillId="24" borderId="48" xfId="45" applyNumberFormat="1" applyFont="1" applyFill="1" applyBorder="1" applyAlignment="1">
      <alignment horizontal="center" vertical="center" wrapText="1"/>
    </xf>
    <xf numFmtId="172" fontId="52" fillId="24" borderId="45" xfId="45" applyNumberFormat="1" applyFont="1" applyFill="1" applyBorder="1" applyAlignment="1">
      <alignment horizontal="center" vertical="center" wrapText="1"/>
    </xf>
    <xf numFmtId="172" fontId="52" fillId="24" borderId="95" xfId="45" applyNumberFormat="1" applyFont="1" applyFill="1" applyBorder="1" applyAlignment="1">
      <alignment horizontal="center" vertical="center" wrapText="1"/>
    </xf>
    <xf numFmtId="172" fontId="52" fillId="24" borderId="25" xfId="0" applyNumberFormat="1" applyFont="1" applyFill="1" applyBorder="1" applyAlignment="1">
      <alignment horizontal="center" vertical="center" wrapText="1"/>
    </xf>
    <xf numFmtId="172" fontId="52" fillId="24" borderId="96" xfId="0" applyNumberFormat="1" applyFont="1" applyFill="1" applyBorder="1" applyAlignment="1">
      <alignment horizontal="center" vertical="center" wrapText="1"/>
    </xf>
    <xf numFmtId="172" fontId="52" fillId="24" borderId="49" xfId="45" applyNumberFormat="1" applyFont="1" applyFill="1" applyBorder="1" applyAlignment="1">
      <alignment horizontal="center" vertical="center" wrapText="1"/>
    </xf>
    <xf numFmtId="172" fontId="52" fillId="24" borderId="47" xfId="45" applyNumberFormat="1" applyFont="1" applyFill="1" applyBorder="1" applyAlignment="1">
      <alignment horizontal="center" vertical="center" wrapText="1"/>
    </xf>
    <xf numFmtId="172" fontId="52" fillId="24" borderId="97" xfId="45" applyNumberFormat="1" applyFont="1" applyFill="1" applyBorder="1" applyAlignment="1">
      <alignment horizontal="center" vertical="center" wrapText="1"/>
    </xf>
    <xf numFmtId="172" fontId="52" fillId="24" borderId="68" xfId="0" applyNumberFormat="1" applyFont="1" applyFill="1" applyBorder="1" applyAlignment="1">
      <alignment horizontal="center" vertical="center" wrapText="1"/>
    </xf>
    <xf numFmtId="172" fontId="52" fillId="24" borderId="69" xfId="0" applyNumberFormat="1" applyFont="1" applyFill="1" applyBorder="1" applyAlignment="1">
      <alignment horizontal="center" vertical="center" wrapText="1"/>
    </xf>
    <xf numFmtId="172" fontId="52" fillId="24" borderId="91" xfId="0" applyNumberFormat="1" applyFont="1" applyFill="1" applyBorder="1" applyAlignment="1">
      <alignment horizontal="center" vertical="center" wrapText="1"/>
    </xf>
    <xf numFmtId="172" fontId="52" fillId="24" borderId="29" xfId="0" applyNumberFormat="1" applyFont="1" applyFill="1" applyBorder="1" applyAlignment="1">
      <alignment horizontal="center" vertical="center" wrapText="1"/>
    </xf>
    <xf numFmtId="172" fontId="52" fillId="24" borderId="98" xfId="0" applyNumberFormat="1" applyFont="1" applyFill="1" applyBorder="1" applyAlignment="1">
      <alignment horizontal="center" vertical="center" wrapText="1"/>
    </xf>
    <xf numFmtId="172" fontId="52" fillId="24" borderId="99" xfId="0" applyNumberFormat="1" applyFont="1" applyFill="1" applyBorder="1" applyAlignment="1">
      <alignment horizontal="center" vertical="center" wrapText="1"/>
    </xf>
    <xf numFmtId="172" fontId="52" fillId="24" borderId="100" xfId="45" applyNumberFormat="1" applyFont="1" applyFill="1" applyBorder="1" applyAlignment="1">
      <alignment horizontal="center" vertical="center" wrapText="1"/>
    </xf>
    <xf numFmtId="172" fontId="52" fillId="24" borderId="99" xfId="45" applyNumberFormat="1" applyFont="1" applyFill="1" applyBorder="1" applyAlignment="1">
      <alignment horizontal="center" vertical="center" wrapText="1"/>
    </xf>
    <xf numFmtId="172" fontId="52" fillId="24" borderId="101" xfId="45" applyNumberFormat="1" applyFont="1" applyFill="1" applyBorder="1" applyAlignment="1">
      <alignment horizontal="center" vertical="center" wrapText="1"/>
    </xf>
    <xf numFmtId="172" fontId="52" fillId="24" borderId="59" xfId="0" applyNumberFormat="1" applyFont="1" applyFill="1" applyBorder="1" applyAlignment="1">
      <alignment horizontal="center" vertical="center" wrapText="1"/>
    </xf>
    <xf numFmtId="172" fontId="52" fillId="24" borderId="76" xfId="0" applyNumberFormat="1" applyFont="1" applyFill="1" applyBorder="1" applyAlignment="1">
      <alignment horizontal="center" vertical="center" wrapText="1"/>
    </xf>
    <xf numFmtId="172" fontId="52" fillId="24" borderId="64" xfId="45" applyNumberFormat="1" applyFont="1" applyFill="1" applyBorder="1" applyAlignment="1">
      <alignment horizontal="center" vertical="center" wrapText="1"/>
    </xf>
    <xf numFmtId="172" fontId="52" fillId="24" borderId="76" xfId="45" applyNumberFormat="1" applyFont="1" applyFill="1" applyBorder="1" applyAlignment="1">
      <alignment horizontal="center" vertical="center" wrapText="1"/>
    </xf>
    <xf numFmtId="172" fontId="52" fillId="24" borderId="58" xfId="45" applyNumberFormat="1" applyFont="1" applyFill="1" applyBorder="1" applyAlignment="1">
      <alignment horizontal="center" vertical="center" wrapText="1"/>
    </xf>
    <xf numFmtId="172" fontId="52" fillId="24" borderId="14" xfId="0" applyNumberFormat="1" applyFont="1" applyFill="1" applyBorder="1" applyAlignment="1">
      <alignment horizontal="center" vertical="center" wrapText="1"/>
    </xf>
    <xf numFmtId="172" fontId="52" fillId="24" borderId="12" xfId="0" applyNumberFormat="1" applyFont="1" applyFill="1" applyBorder="1" applyAlignment="1">
      <alignment horizontal="center" vertical="center" wrapText="1"/>
    </xf>
    <xf numFmtId="172" fontId="52" fillId="24" borderId="0" xfId="45" applyNumberFormat="1" applyFont="1" applyFill="1" applyBorder="1" applyAlignment="1">
      <alignment horizontal="center" vertical="center" wrapText="1"/>
    </xf>
    <xf numFmtId="172" fontId="52" fillId="24" borderId="12" xfId="45" applyNumberFormat="1" applyFont="1" applyFill="1" applyBorder="1" applyAlignment="1">
      <alignment horizontal="center" vertical="center" wrapText="1"/>
    </xf>
    <xf numFmtId="172" fontId="52" fillId="24" borderId="40" xfId="45" applyNumberFormat="1" applyFont="1" applyFill="1" applyBorder="1" applyAlignment="1">
      <alignment horizontal="center" vertical="center" wrapText="1"/>
    </xf>
    <xf numFmtId="172" fontId="52" fillId="24" borderId="21" xfId="0" applyNumberFormat="1" applyFont="1" applyFill="1" applyBorder="1" applyAlignment="1">
      <alignment horizontal="center" vertical="center" wrapText="1"/>
    </xf>
    <xf numFmtId="49" fontId="52" fillId="24" borderId="88" xfId="0" applyNumberFormat="1" applyFont="1" applyFill="1" applyBorder="1" applyAlignment="1">
      <alignment horizontal="center" vertical="center" wrapText="1"/>
    </xf>
    <xf numFmtId="172" fontId="52" fillId="24" borderId="16" xfId="45" applyNumberFormat="1" applyFont="1" applyFill="1" applyBorder="1" applyAlignment="1">
      <alignment horizontal="center" vertical="center" wrapText="1"/>
    </xf>
    <xf numFmtId="172" fontId="52" fillId="24" borderId="88" xfId="45" applyNumberFormat="1" applyFont="1" applyFill="1" applyBorder="1" applyAlignment="1">
      <alignment horizontal="center" vertical="center" wrapText="1"/>
    </xf>
    <xf numFmtId="172" fontId="52" fillId="24" borderId="42" xfId="45" applyNumberFormat="1" applyFont="1" applyFill="1" applyBorder="1" applyAlignment="1">
      <alignment horizontal="center" vertical="center" wrapText="1"/>
    </xf>
    <xf numFmtId="186" fontId="52" fillId="24" borderId="76" xfId="45" applyNumberFormat="1" applyFont="1" applyFill="1" applyBorder="1" applyAlignment="1">
      <alignment horizontal="center" vertical="center" wrapText="1"/>
    </xf>
    <xf numFmtId="172" fontId="52" fillId="24" borderId="29" xfId="45" applyNumberFormat="1" applyFont="1" applyFill="1" applyBorder="1" applyAlignment="1">
      <alignment horizontal="center" vertical="center" wrapText="1"/>
    </xf>
    <xf numFmtId="172" fontId="52" fillId="24" borderId="71" xfId="45" applyNumberFormat="1" applyFont="1" applyFill="1" applyBorder="1" applyAlignment="1">
      <alignment horizontal="center" vertical="center" wrapText="1"/>
    </xf>
    <xf numFmtId="172" fontId="52" fillId="24" borderId="20" xfId="45" applyNumberFormat="1" applyFont="1" applyFill="1" applyBorder="1" applyAlignment="1">
      <alignment horizontal="center" vertical="center" wrapText="1"/>
    </xf>
    <xf numFmtId="172" fontId="51" fillId="24" borderId="4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0" fontId="51" fillId="24" borderId="11" xfId="0" applyFont="1" applyFill="1" applyBorder="1" applyAlignment="1">
      <alignment horizontal="center"/>
    </xf>
    <xf numFmtId="0" fontId="51" fillId="24" borderId="11" xfId="0" applyFont="1" applyFill="1" applyBorder="1" applyAlignment="1">
      <alignment horizontal="center" vertical="center" wrapText="1" shrinkToFit="1"/>
    </xf>
    <xf numFmtId="0" fontId="0" fillId="24" borderId="11" xfId="0" applyFill="1" applyBorder="1" applyAlignment="1">
      <alignment horizontal="center" vertical="center"/>
    </xf>
    <xf numFmtId="0" fontId="51" fillId="24" borderId="51" xfId="0" applyFont="1" applyFill="1" applyBorder="1" applyAlignment="1">
      <alignment horizontal="center"/>
    </xf>
    <xf numFmtId="0" fontId="51" fillId="24" borderId="52" xfId="0" applyFont="1" applyFill="1" applyBorder="1" applyAlignment="1">
      <alignment horizontal="center"/>
    </xf>
    <xf numFmtId="0" fontId="51" fillId="24" borderId="53" xfId="0" applyFont="1" applyFill="1" applyBorder="1" applyAlignment="1">
      <alignment horizontal="center"/>
    </xf>
    <xf numFmtId="15" fontId="51" fillId="24" borderId="29" xfId="0" applyNumberFormat="1" applyFont="1" applyFill="1" applyBorder="1" applyAlignment="1">
      <alignment horizontal="center"/>
    </xf>
    <xf numFmtId="15" fontId="51" fillId="24" borderId="0" xfId="0" applyNumberFormat="1" applyFont="1" applyFill="1" applyBorder="1" applyAlignment="1">
      <alignment horizontal="center"/>
    </xf>
    <xf numFmtId="15" fontId="51" fillId="24" borderId="5" xfId="0" applyNumberFormat="1" applyFont="1" applyFill="1" applyBorder="1" applyAlignment="1">
      <alignment horizontal="center"/>
    </xf>
    <xf numFmtId="15" fontId="2" fillId="24" borderId="60" xfId="0" applyNumberFormat="1" applyFont="1" applyFill="1" applyBorder="1" applyAlignment="1">
      <alignment horizontal="center"/>
    </xf>
    <xf numFmtId="15" fontId="2" fillId="24" borderId="62" xfId="0" applyNumberFormat="1" applyFont="1" applyFill="1" applyBorder="1" applyAlignment="1">
      <alignment horizontal="center"/>
    </xf>
    <xf numFmtId="0" fontId="56" fillId="0" borderId="0" xfId="0" applyFont="1" applyAlignment="1">
      <alignment horizontal="center"/>
    </xf>
    <xf numFmtId="0" fontId="51" fillId="24" borderId="29" xfId="0" applyFont="1" applyFill="1" applyBorder="1" applyAlignment="1">
      <alignment horizontal="center"/>
    </xf>
    <xf numFmtId="0" fontId="51" fillId="24" borderId="5" xfId="0" applyFont="1" applyFill="1" applyBorder="1" applyAlignment="1">
      <alignment horizontal="center"/>
    </xf>
    <xf numFmtId="0" fontId="51" fillId="24" borderId="61" xfId="0" applyFont="1" applyFill="1" applyBorder="1" applyAlignment="1">
      <alignment horizontal="center" vertical="center"/>
    </xf>
    <xf numFmtId="0" fontId="52" fillId="24" borderId="73" xfId="0" applyFont="1" applyFill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24" borderId="52" xfId="0" applyFont="1" applyFill="1" applyBorder="1" applyAlignment="1"/>
    <xf numFmtId="0" fontId="52" fillId="24" borderId="53" xfId="0" applyFont="1" applyFill="1" applyBorder="1" applyAlignment="1"/>
    <xf numFmtId="0" fontId="52" fillId="24" borderId="0" xfId="0" applyFont="1" applyFill="1" applyBorder="1" applyAlignment="1"/>
    <xf numFmtId="0" fontId="52" fillId="24" borderId="5" xfId="0" applyFont="1" applyFill="1" applyBorder="1" applyAlignment="1"/>
    <xf numFmtId="15" fontId="51" fillId="24" borderId="54" xfId="0" applyNumberFormat="1" applyFont="1" applyFill="1" applyBorder="1" applyAlignment="1">
      <alignment horizontal="center"/>
    </xf>
    <xf numFmtId="0" fontId="52" fillId="24" borderId="55" xfId="0" applyFont="1" applyFill="1" applyBorder="1" applyAlignment="1"/>
    <xf numFmtId="0" fontId="54" fillId="0" borderId="0" xfId="0" applyFont="1" applyAlignment="1">
      <alignment horizontal="center" vertical="center" wrapText="1"/>
    </xf>
    <xf numFmtId="0" fontId="60" fillId="0" borderId="55" xfId="0" applyFont="1" applyBorder="1" applyAlignment="1">
      <alignment horizontal="center"/>
    </xf>
    <xf numFmtId="0" fontId="51" fillId="24" borderId="55" xfId="0" applyFont="1" applyFill="1" applyBorder="1" applyAlignment="1">
      <alignment horizontal="center"/>
    </xf>
    <xf numFmtId="0" fontId="51" fillId="24" borderId="0" xfId="0" applyFont="1" applyFill="1" applyAlignment="1">
      <alignment horizontal="center"/>
    </xf>
    <xf numFmtId="0" fontId="51" fillId="24" borderId="0" xfId="0" applyFont="1" applyFill="1" applyBorder="1" applyAlignment="1">
      <alignment horizontal="center"/>
    </xf>
    <xf numFmtId="0" fontId="51" fillId="24" borderId="16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48" fillId="0" borderId="29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1" xfId="0" applyFont="1" applyBorder="1" applyAlignment="1">
      <alignment horizontal="center"/>
    </xf>
    <xf numFmtId="0" fontId="2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63" xfId="0" applyFont="1" applyBorder="1" applyAlignment="1">
      <alignment horizontal="center" vertical="center" wrapText="1"/>
    </xf>
    <xf numFmtId="0" fontId="0" fillId="0" borderId="63" xfId="0" applyBorder="1" applyAlignment="1"/>
    <xf numFmtId="0" fontId="2" fillId="24" borderId="15" xfId="0" applyFont="1" applyFill="1" applyBorder="1" applyAlignment="1">
      <alignment horizontal="center" vertical="center" wrapText="1"/>
    </xf>
    <xf numFmtId="0" fontId="2" fillId="24" borderId="41" xfId="0" applyFont="1" applyFill="1" applyBorder="1" applyAlignment="1">
      <alignment horizontal="center" vertical="center" wrapText="1"/>
    </xf>
    <xf numFmtId="0" fontId="2" fillId="24" borderId="38" xfId="0" applyFont="1" applyFill="1" applyBorder="1" applyAlignment="1">
      <alignment horizontal="center" vertical="center" wrapText="1"/>
    </xf>
    <xf numFmtId="0" fontId="2" fillId="24" borderId="102" xfId="0" applyFont="1" applyFill="1" applyBorder="1" applyAlignment="1">
      <alignment horizontal="center" vertical="center" wrapText="1"/>
    </xf>
    <xf numFmtId="0" fontId="2" fillId="24" borderId="103" xfId="0" applyFont="1" applyFill="1" applyBorder="1" applyAlignment="1">
      <alignment horizontal="center" vertical="center" wrapText="1"/>
    </xf>
    <xf numFmtId="0" fontId="2" fillId="24" borderId="104" xfId="0" applyFont="1" applyFill="1" applyBorder="1" applyAlignment="1">
      <alignment horizontal="center" vertical="center" wrapText="1"/>
    </xf>
    <xf numFmtId="0" fontId="2" fillId="24" borderId="105" xfId="0" applyFont="1" applyFill="1" applyBorder="1" applyAlignment="1">
      <alignment horizontal="center" vertical="center" wrapText="1"/>
    </xf>
    <xf numFmtId="172" fontId="2" fillId="24" borderId="59" xfId="0" applyNumberFormat="1" applyFont="1" applyFill="1" applyBorder="1" applyAlignment="1">
      <alignment horizontal="center" vertical="center" wrapText="1"/>
    </xf>
    <xf numFmtId="172" fontId="2" fillId="24" borderId="64" xfId="0" applyNumberFormat="1" applyFont="1" applyFill="1" applyBorder="1" applyAlignment="1">
      <alignment horizontal="center" vertical="center" wrapText="1"/>
    </xf>
    <xf numFmtId="172" fontId="2" fillId="24" borderId="58" xfId="0" applyNumberFormat="1" applyFont="1" applyFill="1" applyBorder="1" applyAlignment="1">
      <alignment horizontal="center" vertical="center" wrapText="1"/>
    </xf>
    <xf numFmtId="172" fontId="1" fillId="24" borderId="76" xfId="45" applyNumberFormat="1" applyFont="1" applyFill="1" applyBorder="1" applyAlignment="1">
      <alignment horizontal="center" vertical="center" wrapText="1"/>
    </xf>
    <xf numFmtId="172" fontId="1" fillId="24" borderId="12" xfId="45" applyNumberFormat="1" applyFont="1" applyFill="1" applyBorder="1" applyAlignment="1">
      <alignment horizontal="center" vertical="center" wrapText="1"/>
    </xf>
    <xf numFmtId="172" fontId="1" fillId="24" borderId="64" xfId="45" applyNumberFormat="1" applyFont="1" applyFill="1" applyBorder="1" applyAlignment="1">
      <alignment horizontal="center" vertical="center" wrapText="1"/>
    </xf>
    <xf numFmtId="172" fontId="1" fillId="24" borderId="0" xfId="45" applyNumberFormat="1" applyFont="1" applyFill="1" applyBorder="1" applyAlignment="1">
      <alignment horizontal="center" vertical="center" wrapText="1"/>
    </xf>
    <xf numFmtId="172" fontId="1" fillId="24" borderId="58" xfId="45" applyNumberFormat="1" applyFont="1" applyFill="1" applyBorder="1" applyAlignment="1">
      <alignment horizontal="center" vertical="center" wrapText="1"/>
    </xf>
    <xf numFmtId="172" fontId="1" fillId="24" borderId="40" xfId="45" applyNumberFormat="1" applyFont="1" applyFill="1" applyBorder="1" applyAlignment="1">
      <alignment horizontal="center" vertical="center" wrapText="1"/>
    </xf>
    <xf numFmtId="172" fontId="52" fillId="24" borderId="69" xfId="45" applyNumberFormat="1" applyFont="1" applyFill="1" applyBorder="1" applyAlignment="1">
      <alignment horizontal="center" vertical="center" wrapText="1"/>
    </xf>
    <xf numFmtId="172" fontId="52" fillId="24" borderId="96" xfId="45" applyNumberFormat="1" applyFont="1" applyFill="1" applyBorder="1" applyAlignment="1">
      <alignment horizontal="center" vertical="center" wrapText="1"/>
    </xf>
    <xf numFmtId="172" fontId="52" fillId="24" borderId="107" xfId="45" applyNumberFormat="1" applyFont="1" applyFill="1" applyBorder="1" applyAlignment="1">
      <alignment horizontal="center" vertical="center" wrapText="1"/>
    </xf>
    <xf numFmtId="172" fontId="52" fillId="24" borderId="50" xfId="45" applyNumberFormat="1" applyFont="1" applyFill="1" applyBorder="1" applyAlignment="1">
      <alignment horizontal="center" vertical="center" wrapText="1"/>
    </xf>
    <xf numFmtId="172" fontId="2" fillId="0" borderId="41" xfId="0" applyNumberFormat="1" applyFont="1" applyFill="1" applyBorder="1" applyAlignment="1">
      <alignment horizontal="left" vertical="center" wrapText="1"/>
    </xf>
    <xf numFmtId="172" fontId="2" fillId="0" borderId="38" xfId="0" applyNumberFormat="1" applyFont="1" applyFill="1" applyBorder="1" applyAlignment="1">
      <alignment horizontal="left" vertical="center" wrapText="1"/>
    </xf>
    <xf numFmtId="172" fontId="51" fillId="24" borderId="14" xfId="0" applyNumberFormat="1" applyFont="1" applyFill="1" applyBorder="1" applyAlignment="1">
      <alignment horizontal="center" vertical="center" wrapText="1"/>
    </xf>
    <xf numFmtId="172" fontId="51" fillId="24" borderId="0" xfId="0" applyNumberFormat="1" applyFont="1" applyFill="1" applyBorder="1" applyAlignment="1">
      <alignment horizontal="center" vertical="center" wrapText="1"/>
    </xf>
    <xf numFmtId="172" fontId="51" fillId="24" borderId="40" xfId="0" applyNumberFormat="1" applyFont="1" applyFill="1" applyBorder="1" applyAlignment="1">
      <alignment horizontal="center" vertical="center" wrapText="1"/>
    </xf>
    <xf numFmtId="172" fontId="2" fillId="0" borderId="15" xfId="0" applyNumberFormat="1" applyFont="1" applyFill="1" applyBorder="1" applyAlignment="1">
      <alignment horizontal="center" vertical="center" wrapText="1"/>
    </xf>
    <xf numFmtId="172" fontId="2" fillId="0" borderId="41" xfId="0" applyNumberFormat="1" applyFont="1" applyFill="1" applyBorder="1" applyAlignment="1">
      <alignment horizontal="center" vertical="center" wrapText="1"/>
    </xf>
    <xf numFmtId="172" fontId="2" fillId="0" borderId="38" xfId="0" applyNumberFormat="1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172" fontId="52" fillId="24" borderId="70" xfId="45" applyNumberFormat="1" applyFont="1" applyFill="1" applyBorder="1" applyAlignment="1">
      <alignment horizontal="center" vertical="center" wrapText="1"/>
    </xf>
    <xf numFmtId="172" fontId="52" fillId="24" borderId="106" xfId="45" applyNumberFormat="1" applyFont="1" applyFill="1" applyBorder="1" applyAlignment="1">
      <alignment horizontal="center" vertical="center" wrapText="1"/>
    </xf>
    <xf numFmtId="0" fontId="2" fillId="24" borderId="59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horizontal="center" vertical="center" wrapText="1"/>
    </xf>
    <xf numFmtId="172" fontId="51" fillId="24" borderId="59" xfId="0" applyNumberFormat="1" applyFont="1" applyFill="1" applyBorder="1" applyAlignment="1">
      <alignment horizontal="center" vertical="center" wrapText="1"/>
    </xf>
    <xf numFmtId="172" fontId="51" fillId="24" borderId="64" xfId="0" applyNumberFormat="1" applyFont="1" applyFill="1" applyBorder="1" applyAlignment="1">
      <alignment horizontal="center" vertical="center" wrapText="1"/>
    </xf>
    <xf numFmtId="172" fontId="51" fillId="24" borderId="58" xfId="0" applyNumberFormat="1" applyFont="1" applyFill="1" applyBorder="1" applyAlignment="1">
      <alignment horizontal="center" vertical="center" wrapText="1"/>
    </xf>
    <xf numFmtId="172" fontId="51" fillId="24" borderId="21" xfId="0" applyNumberFormat="1" applyFont="1" applyFill="1" applyBorder="1" applyAlignment="1">
      <alignment horizontal="center" vertical="center" wrapText="1"/>
    </xf>
    <xf numFmtId="172" fontId="51" fillId="24" borderId="16" xfId="0" applyNumberFormat="1" applyFont="1" applyFill="1" applyBorder="1" applyAlignment="1">
      <alignment horizontal="center" vertical="center" wrapText="1"/>
    </xf>
    <xf numFmtId="172" fontId="51" fillId="24" borderId="42" xfId="0" applyNumberFormat="1" applyFont="1" applyFill="1" applyBorder="1" applyAlignment="1">
      <alignment horizontal="center" vertical="center" wrapText="1"/>
    </xf>
    <xf numFmtId="172" fontId="51" fillId="24" borderId="41" xfId="0" applyNumberFormat="1" applyFont="1" applyFill="1" applyBorder="1" applyAlignment="1">
      <alignment horizontal="left" vertical="center" wrapText="1"/>
    </xf>
    <xf numFmtId="172" fontId="51" fillId="24" borderId="38" xfId="0" applyNumberFormat="1" applyFont="1" applyFill="1" applyBorder="1" applyAlignment="1">
      <alignment horizontal="left" vertical="center" wrapText="1"/>
    </xf>
    <xf numFmtId="9" fontId="2" fillId="0" borderId="0" xfId="56" applyFont="1" applyAlignment="1">
      <alignment horizontal="center"/>
    </xf>
    <xf numFmtId="3" fontId="2" fillId="0" borderId="11" xfId="0" applyNumberFormat="1" applyFont="1" applyBorder="1" applyAlignment="1">
      <alignment horizontal="center" vertical="top" wrapText="1"/>
    </xf>
    <xf numFmtId="0" fontId="3" fillId="24" borderId="0" xfId="0" applyFont="1" applyFill="1" applyBorder="1" applyAlignment="1">
      <alignment horizontal="center"/>
    </xf>
    <xf numFmtId="0" fontId="3" fillId="24" borderId="62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27" borderId="11" xfId="0" applyFont="1" applyFill="1" applyBorder="1" applyAlignment="1">
      <alignment horizontal="center" vertical="center"/>
    </xf>
    <xf numFmtId="3" fontId="8" fillId="27" borderId="59" xfId="0" applyNumberFormat="1" applyFont="1" applyFill="1" applyBorder="1" applyAlignment="1">
      <alignment horizontal="center" vertical="center"/>
    </xf>
    <xf numFmtId="3" fontId="8" fillId="27" borderId="58" xfId="0" applyNumberFormat="1" applyFont="1" applyFill="1" applyBorder="1" applyAlignment="1">
      <alignment horizontal="center" vertical="center"/>
    </xf>
    <xf numFmtId="3" fontId="7" fillId="27" borderId="15" xfId="0" applyNumberFormat="1" applyFont="1" applyFill="1" applyBorder="1" applyAlignment="1">
      <alignment horizontal="center" vertical="center"/>
    </xf>
    <xf numFmtId="3" fontId="7" fillId="27" borderId="3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61" xfId="0" applyFont="1" applyBorder="1" applyAlignment="1">
      <alignment horizontal="center" wrapText="1"/>
    </xf>
    <xf numFmtId="0" fontId="8" fillId="0" borderId="65" xfId="0" applyFont="1" applyBorder="1" applyAlignment="1">
      <alignment horizontal="center" wrapText="1"/>
    </xf>
    <xf numFmtId="0" fontId="8" fillId="0" borderId="73" xfId="0" applyFont="1" applyBorder="1" applyAlignment="1">
      <alignment horizontal="center" wrapText="1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</cellXfs>
  <cellStyles count="6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F2" xfId="32"/>
    <cellStyle name="F3" xfId="33"/>
    <cellStyle name="F4" xfId="34"/>
    <cellStyle name="F5" xfId="35"/>
    <cellStyle name="F6" xfId="36"/>
    <cellStyle name="F7" xfId="37"/>
    <cellStyle name="F8" xfId="38"/>
    <cellStyle name="Incorrecto" xfId="39" builtinId="27" customBuiltin="1"/>
    <cellStyle name="Millares" xfId="40" builtinId="3"/>
    <cellStyle name="Millares 2" xfId="41"/>
    <cellStyle name="Millares_ASEP -DSAN - 2975 - INVERSIONES 2005,06 Y 07" xfId="42"/>
    <cellStyle name="Millares_HIDROMET_trabajo" xfId="43"/>
    <cellStyle name="Millares_Modulo 6" xfId="44"/>
    <cellStyle name="Millares_RESUMEN" xfId="45"/>
    <cellStyle name="Moneda_Modulo 2" xfId="46"/>
    <cellStyle name="Neutral" xfId="47" builtinId="28" customBuiltin="1"/>
    <cellStyle name="Normal" xfId="0" builtinId="0"/>
    <cellStyle name="Normal 2" xfId="48"/>
    <cellStyle name="Normal_Cuentas de Balance - 19 Feb 04" xfId="49"/>
    <cellStyle name="Notas" xfId="50" builtinId="10" customBuiltin="1"/>
    <cellStyle name="Output Amounts" xfId="51"/>
    <cellStyle name="Output Column Headings" xfId="52"/>
    <cellStyle name="Output Line Items" xfId="53"/>
    <cellStyle name="Output Report Heading" xfId="54"/>
    <cellStyle name="Output Report Title" xfId="55"/>
    <cellStyle name="Porcentual" xfId="56" builtinId="5"/>
    <cellStyle name="Salida" xfId="57" builtinId="21" customBuiltin="1"/>
    <cellStyle name="Texto de advertencia" xfId="58" builtinId="11" customBuiltin="1"/>
    <cellStyle name="Texto explicativo" xfId="59" builtinId="53" customBuiltin="1"/>
    <cellStyle name="Título" xfId="60" builtinId="15" customBuiltin="1"/>
    <cellStyle name="Título 1" xfId="61" builtinId="16" customBuiltin="1"/>
    <cellStyle name="Título 2" xfId="62" builtinId="17" customBuiltin="1"/>
    <cellStyle name="Título 3" xfId="63" builtinId="18" customBuiltin="1"/>
    <cellStyle name="Total" xfId="64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ivera/Mis%20documentos/TARIFAS%20DE%20TRANSMISION/R&#233;gimen%202005-2009/IMP/IMP%202005-09%20(FINAL%20post%20consulta%20p&#250;blica)+M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ejandro/Revicoes%20tarif&#225;rias/PA/M0755-03Panam&#225;Transmisi&#243;n2003/Informes/Fase%20IVIMP/Modelo%20Tarifas%20Transmisi&#243;n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perez/Mis%20documentos/COMPARACION%20IMP/SIN%20AJUSTE/Libro%20de%20Trabajo1%20activo%2031dic08%20Fejecuci&#243;n%20d05m02a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 Base capital completa"/>
      <sheetName val="IMP O&amp;M promedio anterior"/>
      <sheetName val="IMP tasa 12.24%"/>
      <sheetName val="Graficas"/>
      <sheetName val="IMP"/>
      <sheetName val="Hidrometeorología"/>
      <sheetName val="Activos"/>
      <sheetName val="Hoja1"/>
      <sheetName val="Bienes 2004"/>
      <sheetName val="VNR"/>
      <sheetName val="VNR Líneas"/>
      <sheetName val="Compara Valor libros-vs-VNR"/>
      <sheetName val="VNR SE"/>
      <sheetName val="Inversión-Resumen"/>
      <sheetName val="Inversiones"/>
      <sheetName val="Retiros"/>
      <sheetName val="CND"/>
      <sheetName val="Informátic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PT"/>
      <sheetName val="IPSPT"/>
      <sheetName val="IPCT"/>
      <sheetName val="ACTIVOS"/>
      <sheetName val="VNR"/>
      <sheetName val="ADMT%-OMT%"/>
      <sheetName val="RRT"/>
      <sheetName val="CND"/>
      <sheetName val="Hidromet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4">
          <cell r="D14">
            <v>7.85E-2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5"/>
      <sheetName val="Hoja6"/>
      <sheetName val="Hoja7"/>
      <sheetName val="Hoja8"/>
      <sheetName val="Hoja9"/>
      <sheetName val="Hoja4"/>
      <sheetName val="BIENES"/>
      <sheetName val="Hoja3"/>
      <sheetName val="Hoja2"/>
      <sheetName val="AFs_A2008"/>
      <sheetName val="PARTE CAPITALIZ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0">
          <cell r="J30">
            <v>264332.59000000003</v>
          </cell>
        </row>
      </sheetData>
      <sheetData sheetId="5" refreshError="1"/>
      <sheetData sheetId="6" refreshError="1">
        <row r="73">
          <cell r="C73">
            <v>282925.05</v>
          </cell>
          <cell r="D73">
            <v>26271.599999999999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B1:R99"/>
  <sheetViews>
    <sheetView tabSelected="1" topLeftCell="B1" zoomScale="75" zoomScaleNormal="100" workbookViewId="0">
      <selection activeCell="H18" sqref="H18"/>
    </sheetView>
  </sheetViews>
  <sheetFormatPr baseColWidth="10" defaultColWidth="9.140625" defaultRowHeight="12.75"/>
  <cols>
    <col min="1" max="1" width="8.42578125" customWidth="1"/>
    <col min="2" max="2" width="51.140625" customWidth="1"/>
    <col min="3" max="3" width="11.7109375" customWidth="1"/>
    <col min="4" max="4" width="11.5703125" customWidth="1"/>
    <col min="5" max="5" width="13.28515625" customWidth="1"/>
    <col min="6" max="6" width="13.42578125" customWidth="1"/>
    <col min="7" max="7" width="12.42578125" customWidth="1"/>
    <col min="8" max="8" width="12.5703125" customWidth="1"/>
    <col min="9" max="9" width="12.28515625" customWidth="1"/>
    <col min="10" max="10" width="10.7109375" customWidth="1"/>
  </cols>
  <sheetData>
    <row r="1" spans="2:13">
      <c r="I1" s="1"/>
    </row>
    <row r="3" spans="2:13">
      <c r="B3" s="1084" t="s">
        <v>45</v>
      </c>
      <c r="C3" s="1084"/>
      <c r="D3" s="1084"/>
      <c r="E3" s="1084"/>
      <c r="F3" s="1084"/>
      <c r="G3" s="1084"/>
      <c r="H3" s="1084"/>
      <c r="I3" s="1084"/>
    </row>
    <row r="4" spans="2:13">
      <c r="B4" s="1084" t="s">
        <v>46</v>
      </c>
      <c r="C4" s="1084"/>
      <c r="D4" s="1084"/>
      <c r="E4" s="1084"/>
      <c r="F4" s="1084"/>
      <c r="G4" s="1084"/>
      <c r="H4" s="1084"/>
      <c r="I4" s="1084"/>
    </row>
    <row r="5" spans="2:13">
      <c r="B5" s="1084" t="s">
        <v>540</v>
      </c>
      <c r="C5" s="1084"/>
      <c r="D5" s="1084"/>
      <c r="E5" s="1084"/>
      <c r="F5" s="1084"/>
      <c r="G5" s="1084"/>
      <c r="H5" s="1084"/>
      <c r="I5" s="1084"/>
    </row>
    <row r="6" spans="2:13" ht="13.5" thickBot="1">
      <c r="B6" s="679"/>
      <c r="C6" s="682"/>
      <c r="D6" s="682"/>
      <c r="E6" s="682"/>
      <c r="F6" s="682"/>
      <c r="G6" s="682"/>
      <c r="H6" s="682"/>
      <c r="I6" s="682"/>
    </row>
    <row r="7" spans="2:13">
      <c r="B7" s="856" t="s">
        <v>0</v>
      </c>
      <c r="C7" s="858" t="s">
        <v>1</v>
      </c>
      <c r="D7" s="858">
        <v>2008</v>
      </c>
      <c r="E7" s="859">
        <v>2009</v>
      </c>
      <c r="F7" s="858">
        <f>+E7+1</f>
        <v>2010</v>
      </c>
      <c r="G7" s="858">
        <f>+F7+1</f>
        <v>2011</v>
      </c>
      <c r="H7" s="858">
        <f>+G7+1</f>
        <v>2012</v>
      </c>
      <c r="I7" s="933">
        <f>+H7+1</f>
        <v>2013</v>
      </c>
    </row>
    <row r="8" spans="2:13" ht="15">
      <c r="B8" s="942" t="s">
        <v>43</v>
      </c>
      <c r="C8" s="938" t="s">
        <v>2</v>
      </c>
      <c r="D8" s="934"/>
      <c r="E8" s="934">
        <v>1.4195243750092958E-2</v>
      </c>
      <c r="F8" s="934">
        <f t="shared" ref="F8:I9" si="0">E8</f>
        <v>1.4195243750092958E-2</v>
      </c>
      <c r="G8" s="934">
        <f t="shared" si="0"/>
        <v>1.4195243750092958E-2</v>
      </c>
      <c r="H8" s="934">
        <f t="shared" si="0"/>
        <v>1.4195243750092958E-2</v>
      </c>
      <c r="I8" s="943">
        <f t="shared" si="0"/>
        <v>1.4195243750092958E-2</v>
      </c>
      <c r="J8" s="6"/>
      <c r="M8" s="481"/>
    </row>
    <row r="9" spans="2:13">
      <c r="B9" s="872" t="s">
        <v>42</v>
      </c>
      <c r="C9" s="937" t="s">
        <v>2</v>
      </c>
      <c r="D9" s="935"/>
      <c r="E9" s="935">
        <v>7.6435927885115966E-3</v>
      </c>
      <c r="F9" s="935">
        <f t="shared" si="0"/>
        <v>7.6435927885115966E-3</v>
      </c>
      <c r="G9" s="935">
        <f t="shared" si="0"/>
        <v>7.6435927885115966E-3</v>
      </c>
      <c r="H9" s="935">
        <f t="shared" si="0"/>
        <v>7.6435927885115966E-3</v>
      </c>
      <c r="I9" s="944">
        <f t="shared" si="0"/>
        <v>7.6435927885115966E-3</v>
      </c>
      <c r="J9" s="6"/>
    </row>
    <row r="10" spans="2:13">
      <c r="B10" s="945" t="s">
        <v>3</v>
      </c>
      <c r="C10" s="939" t="s">
        <v>2</v>
      </c>
      <c r="D10" s="940">
        <v>0.1071</v>
      </c>
      <c r="E10" s="941">
        <f>SUM(E8:E9)</f>
        <v>2.1838836538604554E-2</v>
      </c>
      <c r="F10" s="941">
        <f>SUM(F8:F9)</f>
        <v>2.1838836538604554E-2</v>
      </c>
      <c r="G10" s="941">
        <f>SUM(G8:G9)</f>
        <v>2.1838836538604554E-2</v>
      </c>
      <c r="H10" s="941">
        <f>SUM(H8:H9)</f>
        <v>2.1838836538604554E-2</v>
      </c>
      <c r="I10" s="946">
        <f>SUM(I8:I9)</f>
        <v>2.1838836538604554E-2</v>
      </c>
      <c r="J10" s="31"/>
    </row>
    <row r="11" spans="2:13">
      <c r="B11" s="947" t="s">
        <v>76</v>
      </c>
      <c r="C11" s="937"/>
      <c r="D11" s="937"/>
      <c r="E11" s="820"/>
      <c r="F11" s="820"/>
      <c r="G11" s="820"/>
      <c r="H11" s="936"/>
      <c r="I11" s="948"/>
    </row>
    <row r="12" spans="2:13">
      <c r="B12" s="949" t="s">
        <v>22</v>
      </c>
      <c r="C12" s="937" t="s">
        <v>4</v>
      </c>
      <c r="D12" s="876">
        <f>ACTIVOS!C28+ACTIVOS!C168</f>
        <v>287823.22474260518</v>
      </c>
      <c r="E12" s="876">
        <f>ACTIVOS!D28+ACTIVOS!D168</f>
        <v>317368.79106403381</v>
      </c>
      <c r="F12" s="876">
        <f>ACTIVOS!E28+ACTIVOS!E168</f>
        <v>324627.4130175598</v>
      </c>
      <c r="G12" s="876">
        <f>ACTIVOS!F28+ACTIVOS!F168</f>
        <v>361039.66187036497</v>
      </c>
      <c r="H12" s="876">
        <f>ACTIVOS!G28+ACTIVOS!G168</f>
        <v>387471.66187036497</v>
      </c>
      <c r="I12" s="880">
        <f>ACTIVOS!H28+ACTIVOS!H168</f>
        <v>388263.66187036497</v>
      </c>
    </row>
    <row r="13" spans="2:13">
      <c r="B13" s="949" t="s">
        <v>5</v>
      </c>
      <c r="C13" s="937" t="s">
        <v>4</v>
      </c>
      <c r="D13" s="876">
        <f>+ACTIVOS!C84</f>
        <v>23032.303161225453</v>
      </c>
      <c r="E13" s="876">
        <f>+ACTIVOS!D84</f>
        <v>23032.303161225453</v>
      </c>
      <c r="F13" s="876">
        <f>+ACTIVOS!E84</f>
        <v>23032.303161225453</v>
      </c>
      <c r="G13" s="876">
        <f>+ACTIVOS!F84</f>
        <v>36259.303161225456</v>
      </c>
      <c r="H13" s="876">
        <f>+ACTIVOS!G84</f>
        <v>43187.303161225456</v>
      </c>
      <c r="I13" s="880">
        <f>+ACTIVOS!H84</f>
        <v>43187.303161225456</v>
      </c>
    </row>
    <row r="14" spans="2:13">
      <c r="B14" s="949" t="s">
        <v>225</v>
      </c>
      <c r="C14" s="937" t="s">
        <v>4</v>
      </c>
      <c r="D14" s="876">
        <f>ACTIVOS!C112</f>
        <v>2000.9</v>
      </c>
      <c r="E14" s="876">
        <f>ACTIVOS!D112</f>
        <v>2000.9</v>
      </c>
      <c r="F14" s="876">
        <f>ACTIVOS!E112</f>
        <v>2000.9</v>
      </c>
      <c r="G14" s="876">
        <f>ACTIVOS!F112</f>
        <v>2000.9</v>
      </c>
      <c r="H14" s="876">
        <f>ACTIVOS!G112</f>
        <v>2000.9</v>
      </c>
      <c r="I14" s="880">
        <f>ACTIVOS!H112</f>
        <v>2000.9</v>
      </c>
    </row>
    <row r="15" spans="2:13">
      <c r="B15" s="949" t="s">
        <v>37</v>
      </c>
      <c r="C15" s="937" t="s">
        <v>4</v>
      </c>
      <c r="D15" s="876">
        <f>+ACTIVOS!C29+ACTIVOS!C169</f>
        <v>173831.96291572356</v>
      </c>
      <c r="E15" s="876">
        <f>+ACTIVOS!D29+ACTIVOS!D169</f>
        <v>194289.63456082254</v>
      </c>
      <c r="F15" s="876">
        <f>+ACTIVOS!E29+ACTIVOS!E169</f>
        <v>191048.37460614389</v>
      </c>
      <c r="G15" s="876">
        <f>+ACTIVOS!F29+ACTIVOS!F169</f>
        <v>217250.31563437084</v>
      </c>
      <c r="H15" s="876">
        <f>+ACTIVOS!G29+ACTIVOS!G169</f>
        <v>231739.0052868487</v>
      </c>
      <c r="I15" s="880">
        <f>+ACTIVOS!H29+ACTIVOS!H169</f>
        <v>219971.35993932659</v>
      </c>
    </row>
    <row r="16" spans="2:13">
      <c r="B16" s="949" t="s">
        <v>6</v>
      </c>
      <c r="C16" s="937" t="s">
        <v>4</v>
      </c>
      <c r="D16" s="876">
        <f>+ACTIVOS!C85</f>
        <v>11189.651451084055</v>
      </c>
      <c r="E16" s="876">
        <f>+ACTIVOS!D85</f>
        <v>10597.665134563566</v>
      </c>
      <c r="F16" s="876">
        <f>+ACTIVOS!E85</f>
        <v>10005.678818043076</v>
      </c>
      <c r="G16" s="876">
        <f>+ACTIVOS!F85</f>
        <v>22427.927729634444</v>
      </c>
      <c r="H16" s="876">
        <f>+ACTIVOS!G85</f>
        <v>28268.215585062309</v>
      </c>
      <c r="I16" s="880">
        <f>+ACTIVOS!H85</f>
        <v>27071.579268541824</v>
      </c>
    </row>
    <row r="17" spans="2:10">
      <c r="B17" s="949" t="s">
        <v>226</v>
      </c>
      <c r="C17" s="937" t="s">
        <v>4</v>
      </c>
      <c r="D17" s="876">
        <f>ACTIVOS!C113</f>
        <v>549.3154999999997</v>
      </c>
      <c r="E17" s="876">
        <f>ACTIVOS!D113</f>
        <v>479.28399999999965</v>
      </c>
      <c r="F17" s="876">
        <f>ACTIVOS!E113</f>
        <v>409.2524999999996</v>
      </c>
      <c r="G17" s="876">
        <f>ACTIVOS!F113</f>
        <v>339.22099999999955</v>
      </c>
      <c r="H17" s="876">
        <f>ACTIVOS!G113</f>
        <v>269.1894999999995</v>
      </c>
      <c r="I17" s="880">
        <f>ACTIVOS!H113</f>
        <v>199.15799999999945</v>
      </c>
    </row>
    <row r="18" spans="2:10">
      <c r="B18" s="950" t="s">
        <v>77</v>
      </c>
      <c r="C18" s="937"/>
      <c r="D18" s="937"/>
      <c r="E18" s="820"/>
      <c r="F18" s="820"/>
      <c r="G18" s="820"/>
      <c r="H18" s="820"/>
      <c r="I18" s="948"/>
      <c r="J18" s="67"/>
    </row>
    <row r="19" spans="2:10">
      <c r="B19" s="949" t="s">
        <v>72</v>
      </c>
      <c r="C19" s="937" t="s">
        <v>4</v>
      </c>
      <c r="D19" s="876">
        <f>ACTIVOS!C118</f>
        <v>424886.69183745852</v>
      </c>
      <c r="E19" s="876">
        <f>ACTIVOS!D118</f>
        <v>456675.17482555378</v>
      </c>
      <c r="F19" s="876">
        <f>ACTIVOS!E118</f>
        <v>469585.88011241314</v>
      </c>
      <c r="G19" s="876">
        <f>ACTIVOS!F118</f>
        <v>510048.12896521832</v>
      </c>
      <c r="H19" s="876">
        <f>ACTIVOS!G118</f>
        <v>536480.12896521832</v>
      </c>
      <c r="I19" s="880">
        <f>ACTIVOS!H118</f>
        <v>537272.12896521832</v>
      </c>
      <c r="J19" s="9"/>
    </row>
    <row r="20" spans="2:10">
      <c r="B20" s="949" t="s">
        <v>73</v>
      </c>
      <c r="C20" s="937" t="s">
        <v>4</v>
      </c>
      <c r="D20" s="876">
        <f>ACTIVOS!C121</f>
        <v>31847.854297104881</v>
      </c>
      <c r="E20" s="876">
        <f>ACTIVOS!D121</f>
        <v>31847.854297104881</v>
      </c>
      <c r="F20" s="876">
        <f>ACTIVOS!E121</f>
        <v>31847.854297104881</v>
      </c>
      <c r="G20" s="876">
        <f>ACTIVOS!F121</f>
        <v>45074.854297104881</v>
      </c>
      <c r="H20" s="876">
        <f>ACTIVOS!G121</f>
        <v>52002.854297104881</v>
      </c>
      <c r="I20" s="880">
        <f>ACTIVOS!H121</f>
        <v>52002.854297104881</v>
      </c>
      <c r="J20" s="9"/>
    </row>
    <row r="21" spans="2:10">
      <c r="B21" s="950" t="s">
        <v>78</v>
      </c>
      <c r="C21" s="937"/>
      <c r="D21" s="937"/>
      <c r="E21" s="820"/>
      <c r="F21" s="820"/>
      <c r="G21" s="820"/>
      <c r="H21" s="820"/>
      <c r="I21" s="948"/>
    </row>
    <row r="22" spans="2:10">
      <c r="B22" s="949" t="s">
        <v>72</v>
      </c>
      <c r="C22" s="937" t="s">
        <v>4</v>
      </c>
      <c r="D22" s="1014" t="s">
        <v>547</v>
      </c>
      <c r="E22" s="876">
        <f>+'PLAN EXPANSIÓN'!C94*1000</f>
        <v>17520.674741071463</v>
      </c>
      <c r="F22" s="876">
        <f>+'PLAN EXPANSIÓN'!D94*1000</f>
        <v>609.58333333333337</v>
      </c>
      <c r="G22" s="876">
        <f>+'PLAN EXPANSIÓN'!E94*1000</f>
        <v>19154.5</v>
      </c>
      <c r="H22" s="876">
        <f>+'PLAN EXPANSIÓN'!F94*1000</f>
        <v>13267.000000000002</v>
      </c>
      <c r="I22" s="880">
        <f>+'PLAN EXPANSIÓN'!G94*1000</f>
        <v>0</v>
      </c>
    </row>
    <row r="23" spans="2:10" ht="13.5" thickBot="1">
      <c r="B23" s="951" t="s">
        <v>73</v>
      </c>
      <c r="C23" s="952" t="s">
        <v>4</v>
      </c>
      <c r="D23" s="1015" t="s">
        <v>547</v>
      </c>
      <c r="E23" s="953">
        <f>+'PLAN EXPANSIÓN'!C100*1000</f>
        <v>0</v>
      </c>
      <c r="F23" s="953">
        <f>+'PLAN EXPANSIÓN'!D100*1000</f>
        <v>0</v>
      </c>
      <c r="G23" s="953">
        <f>+'PLAN EXPANSIÓN'!E100*1000</f>
        <v>8278</v>
      </c>
      <c r="H23" s="953">
        <f>+'PLAN EXPANSIÓN'!F100*1000</f>
        <v>3848.5</v>
      </c>
      <c r="I23" s="954">
        <f>+'PLAN EXPANSIÓN'!G100*1000</f>
        <v>0</v>
      </c>
    </row>
    <row r="24" spans="2:10" ht="13.5" thickBot="1">
      <c r="B24" s="682"/>
      <c r="C24" s="682"/>
      <c r="D24" s="682"/>
      <c r="E24" s="682"/>
      <c r="F24" s="682"/>
      <c r="G24" s="682"/>
      <c r="H24" s="682"/>
      <c r="I24" s="682"/>
    </row>
    <row r="25" spans="2:10">
      <c r="B25" s="861" t="s">
        <v>7</v>
      </c>
      <c r="C25" s="862"/>
      <c r="D25" s="857">
        <v>2008</v>
      </c>
      <c r="E25" s="863">
        <v>2009</v>
      </c>
      <c r="F25" s="857">
        <f>+E25+1</f>
        <v>2010</v>
      </c>
      <c r="G25" s="857">
        <f>+F25+1</f>
        <v>2011</v>
      </c>
      <c r="H25" s="857">
        <f>+G25+1</f>
        <v>2012</v>
      </c>
      <c r="I25" s="860">
        <f>+H25+1</f>
        <v>2013</v>
      </c>
    </row>
    <row r="26" spans="2:10">
      <c r="B26" s="864"/>
      <c r="C26" s="865"/>
      <c r="D26" s="865"/>
      <c r="E26" s="866"/>
      <c r="F26" s="850"/>
      <c r="G26" s="850"/>
      <c r="H26" s="850"/>
      <c r="I26" s="867"/>
    </row>
    <row r="27" spans="2:10">
      <c r="B27" s="868" t="s">
        <v>8</v>
      </c>
      <c r="C27" s="869"/>
      <c r="D27" s="869"/>
      <c r="E27" s="870">
        <f>SUM(E28:E31)</f>
        <v>39243.424331555376</v>
      </c>
      <c r="F27" s="870">
        <f>SUM(F28:F31)</f>
        <v>41360.155229695963</v>
      </c>
      <c r="G27" s="870">
        <f>SUM(G28:G31)</f>
        <v>43396.556965986703</v>
      </c>
      <c r="H27" s="870">
        <f>SUM(H28:H31)</f>
        <v>48060.308411613427</v>
      </c>
      <c r="I27" s="871">
        <f>SUM(I28:I31)</f>
        <v>49094.994656424533</v>
      </c>
    </row>
    <row r="28" spans="2:10">
      <c r="B28" s="872" t="s">
        <v>15</v>
      </c>
      <c r="C28" s="937" t="s">
        <v>4</v>
      </c>
      <c r="D28" s="873"/>
      <c r="E28" s="874">
        <f t="shared" ref="E28:I29" si="1">E8*(D$19+E$22)</f>
        <v>6280.0804054189621</v>
      </c>
      <c r="F28" s="874">
        <f t="shared" si="1"/>
        <v>6491.2686052677118</v>
      </c>
      <c r="G28" s="874">
        <f t="shared" si="1"/>
        <v>6937.788826208789</v>
      </c>
      <c r="H28" s="874">
        <f t="shared" si="1"/>
        <v>7428.5858137726054</v>
      </c>
      <c r="I28" s="875">
        <f t="shared" si="1"/>
        <v>7615.4661977425794</v>
      </c>
    </row>
    <row r="29" spans="2:10">
      <c r="B29" s="872" t="s">
        <v>9</v>
      </c>
      <c r="C29" s="937" t="s">
        <v>4</v>
      </c>
      <c r="D29" s="873"/>
      <c r="E29" s="874">
        <f t="shared" si="1"/>
        <v>3381.5817567640584</v>
      </c>
      <c r="F29" s="874">
        <f t="shared" si="1"/>
        <v>3495.2984797595391</v>
      </c>
      <c r="G29" s="874">
        <f t="shared" si="1"/>
        <v>3735.7324448816576</v>
      </c>
      <c r="H29" s="874">
        <f t="shared" si="1"/>
        <v>4000.007745877559</v>
      </c>
      <c r="I29" s="875">
        <f t="shared" si="1"/>
        <v>4100.6356449383138</v>
      </c>
    </row>
    <row r="30" spans="2:10">
      <c r="B30" s="872" t="s">
        <v>10</v>
      </c>
      <c r="C30" s="937" t="s">
        <v>4</v>
      </c>
      <c r="D30" s="873"/>
      <c r="E30" s="876">
        <f>-ACTIVOS!D30-ACTIVOS!D170</f>
        <v>9087.8946763296135</v>
      </c>
      <c r="F30" s="876">
        <f>-ACTIVOS!E30-ACTIVOS!E170</f>
        <v>10499.881908204616</v>
      </c>
      <c r="G30" s="876">
        <f>-ACTIVOS!F30-ACTIVOS!F170</f>
        <v>10210.307824578251</v>
      </c>
      <c r="H30" s="876">
        <f>-ACTIVOS!G30-ACTIVOS!G170</f>
        <v>11943.310347522145</v>
      </c>
      <c r="I30" s="880">
        <f>-ACTIVOS!H30-ACTIVOS!H170</f>
        <v>12559.645347522148</v>
      </c>
      <c r="J30" s="23"/>
    </row>
    <row r="31" spans="2:10">
      <c r="B31" s="872" t="s">
        <v>11</v>
      </c>
      <c r="C31" s="937" t="s">
        <v>4</v>
      </c>
      <c r="D31" s="873"/>
      <c r="E31" s="874">
        <f>$D$10*(D15+E22)</f>
        <v>20493.867493042748</v>
      </c>
      <c r="F31" s="874">
        <f>$D$10*(E15+F22)</f>
        <v>20873.706236464095</v>
      </c>
      <c r="G31" s="874">
        <f>$D$10*(F15+G22)</f>
        <v>22512.727870318009</v>
      </c>
      <c r="H31" s="874">
        <f>$D$10*(G15+H22)</f>
        <v>24688.404504441118</v>
      </c>
      <c r="I31" s="875">
        <f>$D$10*(H15+I22)</f>
        <v>24819.247466221495</v>
      </c>
    </row>
    <row r="32" spans="2:10">
      <c r="B32" s="877"/>
      <c r="C32" s="873"/>
      <c r="D32" s="873"/>
      <c r="E32" s="878"/>
      <c r="F32" s="878"/>
      <c r="G32" s="878"/>
      <c r="H32" s="878"/>
      <c r="I32" s="879"/>
    </row>
    <row r="33" spans="2:9">
      <c r="B33" s="868" t="s">
        <v>14</v>
      </c>
      <c r="C33" s="869"/>
      <c r="D33" s="869"/>
      <c r="E33" s="870">
        <f>SUM(E34:E37)</f>
        <v>2485.9180710313603</v>
      </c>
      <c r="F33" s="870">
        <f>SUM(F34:F37)</f>
        <v>2422.5163365320159</v>
      </c>
      <c r="G33" s="870">
        <f>SUM(G34:G37)</f>
        <v>3639.2350627873798</v>
      </c>
      <c r="H33" s="870">
        <f>SUM(H34:H37)</f>
        <v>4970.3466918306931</v>
      </c>
      <c r="I33" s="871">
        <f>SUM(I34:I37)</f>
        <v>5359.8440402160068</v>
      </c>
    </row>
    <row r="34" spans="2:9">
      <c r="B34" s="872" t="s">
        <v>15</v>
      </c>
      <c r="C34" s="937" t="s">
        <v>4</v>
      </c>
      <c r="D34" s="873"/>
      <c r="E34" s="876">
        <f t="shared" ref="E34:I35" si="2">E8*(D$20+E$23)</f>
        <v>452.08805466484921</v>
      </c>
      <c r="F34" s="876">
        <f t="shared" si="2"/>
        <v>452.08805466484921</v>
      </c>
      <c r="G34" s="876">
        <f t="shared" si="2"/>
        <v>569.59628242811868</v>
      </c>
      <c r="H34" s="876">
        <f t="shared" si="2"/>
        <v>694.4789393195615</v>
      </c>
      <c r="I34" s="880">
        <f t="shared" si="2"/>
        <v>738.19319244797282</v>
      </c>
    </row>
    <row r="35" spans="2:9">
      <c r="B35" s="872" t="s">
        <v>9</v>
      </c>
      <c r="C35" s="937" t="s">
        <v>4</v>
      </c>
      <c r="D35" s="873"/>
      <c r="E35" s="876">
        <f t="shared" si="2"/>
        <v>243.43202943491892</v>
      </c>
      <c r="F35" s="876">
        <f t="shared" si="2"/>
        <v>243.43202943491892</v>
      </c>
      <c r="G35" s="876">
        <f t="shared" si="2"/>
        <v>306.70569053821794</v>
      </c>
      <c r="H35" s="876">
        <f t="shared" si="2"/>
        <v>373.95019809514872</v>
      </c>
      <c r="I35" s="880">
        <f t="shared" si="2"/>
        <v>397.48864208737018</v>
      </c>
    </row>
    <row r="36" spans="2:9">
      <c r="B36" s="872" t="s">
        <v>10</v>
      </c>
      <c r="C36" s="937" t="s">
        <v>4</v>
      </c>
      <c r="D36" s="873"/>
      <c r="E36" s="876">
        <f>-ACTIVOS!D86</f>
        <v>591.98631652049005</v>
      </c>
      <c r="F36" s="876">
        <f>-ACTIVOS!E86</f>
        <v>591.98631652049005</v>
      </c>
      <c r="G36" s="876">
        <f>-ACTIVOS!F86</f>
        <v>804.75108840862993</v>
      </c>
      <c r="H36" s="876">
        <f>-ACTIVOS!G86</f>
        <v>1087.7121445721336</v>
      </c>
      <c r="I36" s="880">
        <f>-ACTIVOS!H86</f>
        <v>1196.63631652049</v>
      </c>
    </row>
    <row r="37" spans="2:9">
      <c r="B37" s="872" t="s">
        <v>11</v>
      </c>
      <c r="C37" s="937" t="s">
        <v>4</v>
      </c>
      <c r="D37" s="873"/>
      <c r="E37" s="876">
        <f>+$D$10*(D16+E23)</f>
        <v>1198.4116704111023</v>
      </c>
      <c r="F37" s="876">
        <f>+$D$10*(E16+F23)</f>
        <v>1135.0099359117578</v>
      </c>
      <c r="G37" s="876">
        <f>+$D$10*(F16+G23)</f>
        <v>1958.1820014124132</v>
      </c>
      <c r="H37" s="876">
        <f>+$D$10*(G16+H23)</f>
        <v>2814.2054098438489</v>
      </c>
      <c r="I37" s="880">
        <f>+$D$10*(H16+I23)</f>
        <v>3027.5258891601734</v>
      </c>
    </row>
    <row r="38" spans="2:9">
      <c r="B38" s="872"/>
      <c r="C38" s="873"/>
      <c r="D38" s="873"/>
      <c r="E38" s="876"/>
      <c r="F38" s="876"/>
      <c r="G38" s="876"/>
      <c r="H38" s="876"/>
      <c r="I38" s="880"/>
    </row>
    <row r="39" spans="2:9">
      <c r="B39" s="881" t="s">
        <v>12</v>
      </c>
      <c r="C39" s="869"/>
      <c r="D39" s="869"/>
      <c r="E39" s="870">
        <f>SUM(E40:E41)</f>
        <v>5403.5136870373417</v>
      </c>
      <c r="F39" s="870">
        <f>SUM(F40:F41)</f>
        <v>5587.413313387342</v>
      </c>
      <c r="G39" s="870">
        <f>SUM(G40:G41)</f>
        <v>5681.212939737341</v>
      </c>
      <c r="H39" s="870">
        <f>SUM(H40:H41)</f>
        <v>5758.0125660873418</v>
      </c>
      <c r="I39" s="871">
        <f>SUM(I40:I41)</f>
        <v>5888.2121924373414</v>
      </c>
    </row>
    <row r="40" spans="2:9">
      <c r="B40" s="877" t="s">
        <v>332</v>
      </c>
      <c r="C40" s="937" t="s">
        <v>4</v>
      </c>
      <c r="D40" s="882"/>
      <c r="E40" s="882">
        <f>CND!B8</f>
        <v>2697.6504969873417</v>
      </c>
      <c r="F40" s="882">
        <f>CND!C8</f>
        <v>2697.6504969873417</v>
      </c>
      <c r="G40" s="882">
        <f>CND!D8</f>
        <v>2697.6504969873417</v>
      </c>
      <c r="H40" s="882">
        <f>CND!E8</f>
        <v>2697.6504969873417</v>
      </c>
      <c r="I40" s="883">
        <f>CND!F8</f>
        <v>2697.6504969873417</v>
      </c>
    </row>
    <row r="41" spans="2:9">
      <c r="B41" s="877" t="s">
        <v>13</v>
      </c>
      <c r="C41" s="937" t="s">
        <v>4</v>
      </c>
      <c r="D41" s="882"/>
      <c r="E41" s="882">
        <f>HID!B8/1000-ACTIVOS!D114+RRT*D17</f>
        <v>2705.86319005</v>
      </c>
      <c r="F41" s="882">
        <f>HID!C8/1000-ACTIVOS!E114+RRT*E17</f>
        <v>2889.7628164000002</v>
      </c>
      <c r="G41" s="882">
        <f>HID!D8/1000-ACTIVOS!F114+RRT*F17</f>
        <v>2983.5624427499997</v>
      </c>
      <c r="H41" s="882">
        <f>HID!E8/1000-ACTIVOS!G114+RRT*G17</f>
        <v>3060.3620691000001</v>
      </c>
      <c r="I41" s="883">
        <f>HID!F8/1000-ACTIVOS!H114+RRT*H17</f>
        <v>3190.5616954499997</v>
      </c>
    </row>
    <row r="42" spans="2:9">
      <c r="B42" s="872"/>
      <c r="C42" s="873"/>
      <c r="D42" s="873"/>
      <c r="E42" s="884"/>
      <c r="F42" s="884"/>
      <c r="G42" s="884"/>
      <c r="H42" s="885"/>
      <c r="I42" s="886"/>
    </row>
    <row r="43" spans="2:9" ht="13.5" thickBot="1">
      <c r="B43" s="887" t="s">
        <v>16</v>
      </c>
      <c r="C43" s="888"/>
      <c r="D43" s="888"/>
      <c r="E43" s="889">
        <f>E27+E33+E39</f>
        <v>47132.856089624074</v>
      </c>
      <c r="F43" s="889">
        <f>F27+F33+F39</f>
        <v>49370.084879615322</v>
      </c>
      <c r="G43" s="889">
        <f>G27+G33+G39</f>
        <v>52717.004968511428</v>
      </c>
      <c r="H43" s="889">
        <f>H27+H33+H39</f>
        <v>58788.667669531467</v>
      </c>
      <c r="I43" s="890">
        <f>I27+I33+I39</f>
        <v>60343.05088907788</v>
      </c>
    </row>
    <row r="44" spans="2:9">
      <c r="B44" s="4"/>
      <c r="C44" s="4"/>
      <c r="D44" s="4"/>
      <c r="E44" s="4"/>
      <c r="F44" s="4"/>
      <c r="G44" s="4"/>
      <c r="H44" s="4"/>
      <c r="I44" s="4"/>
    </row>
    <row r="45" spans="2:9">
      <c r="B45" s="4"/>
      <c r="C45" s="4"/>
      <c r="D45" s="4"/>
      <c r="E45" s="4"/>
      <c r="F45" s="4"/>
      <c r="G45" s="4"/>
      <c r="H45" s="4"/>
      <c r="I45" s="78"/>
    </row>
    <row r="46" spans="2:9">
      <c r="B46" s="1083" t="s">
        <v>45</v>
      </c>
      <c r="C46" s="1083"/>
      <c r="D46" s="1083"/>
      <c r="E46" s="1083"/>
      <c r="F46" s="1083"/>
      <c r="G46" s="1083"/>
      <c r="H46" s="1083"/>
      <c r="I46" s="1083"/>
    </row>
    <row r="47" spans="2:9">
      <c r="B47" s="1083" t="s">
        <v>47</v>
      </c>
      <c r="C47" s="1083"/>
      <c r="D47" s="1083"/>
      <c r="E47" s="1083"/>
      <c r="F47" s="1083"/>
      <c r="G47" s="1083"/>
      <c r="H47" s="1083"/>
      <c r="I47" s="1083"/>
    </row>
    <row r="48" spans="2:9">
      <c r="B48" s="1084" t="s">
        <v>759</v>
      </c>
      <c r="C48" s="1084"/>
      <c r="D48" s="1084"/>
      <c r="E48" s="1084"/>
      <c r="F48" s="1084"/>
      <c r="G48" s="1084"/>
      <c r="H48" s="1084"/>
      <c r="I48" s="1084"/>
    </row>
    <row r="49" spans="2:10">
      <c r="B49" s="891"/>
      <c r="C49" s="839"/>
      <c r="D49" s="839"/>
      <c r="E49" s="839"/>
      <c r="F49" s="839"/>
      <c r="G49" s="839"/>
      <c r="H49" s="839"/>
      <c r="I49" s="839"/>
    </row>
    <row r="50" spans="2:10" ht="13.5" thickBot="1">
      <c r="B50" s="891"/>
      <c r="C50" s="839"/>
      <c r="D50" s="839"/>
      <c r="E50" s="839"/>
      <c r="F50" s="839"/>
      <c r="G50" s="839"/>
      <c r="H50" s="839"/>
      <c r="I50" s="839"/>
    </row>
    <row r="51" spans="2:10" ht="15">
      <c r="B51" s="1007" t="s">
        <v>17</v>
      </c>
      <c r="C51" s="892"/>
      <c r="D51" s="893"/>
      <c r="E51" s="894">
        <v>2009</v>
      </c>
      <c r="F51" s="895">
        <v>2010</v>
      </c>
      <c r="G51" s="894">
        <v>2011</v>
      </c>
      <c r="H51" s="895">
        <v>2012</v>
      </c>
      <c r="I51" s="896">
        <v>2013</v>
      </c>
    </row>
    <row r="52" spans="2:10" ht="14.25">
      <c r="B52" s="947" t="s">
        <v>74</v>
      </c>
      <c r="C52" s="897"/>
      <c r="D52" s="898"/>
      <c r="E52" s="899"/>
      <c r="F52" s="900"/>
      <c r="G52" s="900"/>
      <c r="H52" s="900"/>
      <c r="I52" s="901"/>
    </row>
    <row r="53" spans="2:10">
      <c r="B53" s="949" t="s">
        <v>18</v>
      </c>
      <c r="C53" s="839"/>
      <c r="D53" s="840"/>
      <c r="E53" s="902">
        <f>E27</f>
        <v>39243.424331555376</v>
      </c>
      <c r="F53" s="876">
        <f>F27</f>
        <v>41360.155229695963</v>
      </c>
      <c r="G53" s="876">
        <f>G27</f>
        <v>43396.556965986703</v>
      </c>
      <c r="H53" s="876">
        <f>H27</f>
        <v>48060.308411613427</v>
      </c>
      <c r="I53" s="903">
        <f>I27</f>
        <v>49094.994656424533</v>
      </c>
      <c r="J53" s="8"/>
    </row>
    <row r="54" spans="2:10">
      <c r="B54" s="949" t="s">
        <v>14</v>
      </c>
      <c r="C54" s="839"/>
      <c r="D54" s="840"/>
      <c r="E54" s="902">
        <f>E33</f>
        <v>2485.9180710313603</v>
      </c>
      <c r="F54" s="876">
        <f>F33</f>
        <v>2422.5163365320159</v>
      </c>
      <c r="G54" s="876">
        <f>G33</f>
        <v>3639.2350627873798</v>
      </c>
      <c r="H54" s="876">
        <f>H33</f>
        <v>4970.3466918306931</v>
      </c>
      <c r="I54" s="903">
        <f>I33</f>
        <v>5359.8440402160068</v>
      </c>
      <c r="J54" s="8"/>
    </row>
    <row r="55" spans="2:10">
      <c r="B55" s="1008" t="s">
        <v>12</v>
      </c>
      <c r="C55" s="839"/>
      <c r="D55" s="840"/>
      <c r="E55" s="902">
        <f t="shared" ref="E55:I57" si="3">E39</f>
        <v>5403.5136870373417</v>
      </c>
      <c r="F55" s="876">
        <f t="shared" si="3"/>
        <v>5587.413313387342</v>
      </c>
      <c r="G55" s="876">
        <f t="shared" si="3"/>
        <v>5681.212939737341</v>
      </c>
      <c r="H55" s="876">
        <f t="shared" si="3"/>
        <v>5758.0125660873418</v>
      </c>
      <c r="I55" s="903">
        <f t="shared" si="3"/>
        <v>5888.2121924373414</v>
      </c>
      <c r="J55" s="8"/>
    </row>
    <row r="56" spans="2:10">
      <c r="B56" s="1009" t="s">
        <v>306</v>
      </c>
      <c r="C56" s="839"/>
      <c r="D56" s="840"/>
      <c r="E56" s="902">
        <f t="shared" si="3"/>
        <v>2697.6504969873417</v>
      </c>
      <c r="F56" s="876">
        <f t="shared" si="3"/>
        <v>2697.6504969873417</v>
      </c>
      <c r="G56" s="876">
        <f t="shared" si="3"/>
        <v>2697.6504969873417</v>
      </c>
      <c r="H56" s="876">
        <f t="shared" si="3"/>
        <v>2697.6504969873417</v>
      </c>
      <c r="I56" s="903">
        <f t="shared" si="3"/>
        <v>2697.6504969873417</v>
      </c>
      <c r="J56" s="8"/>
    </row>
    <row r="57" spans="2:10">
      <c r="B57" s="1009" t="s">
        <v>13</v>
      </c>
      <c r="C57" s="839"/>
      <c r="D57" s="840"/>
      <c r="E57" s="902">
        <f t="shared" si="3"/>
        <v>2705.86319005</v>
      </c>
      <c r="F57" s="876">
        <f t="shared" si="3"/>
        <v>2889.7628164000002</v>
      </c>
      <c r="G57" s="876">
        <f t="shared" si="3"/>
        <v>2983.5624427499997</v>
      </c>
      <c r="H57" s="876">
        <f t="shared" si="3"/>
        <v>3060.3620691000001</v>
      </c>
      <c r="I57" s="903">
        <f t="shared" si="3"/>
        <v>3190.5616954499997</v>
      </c>
      <c r="J57" s="8"/>
    </row>
    <row r="58" spans="2:10">
      <c r="B58" s="949"/>
      <c r="C58" s="839"/>
      <c r="D58" s="840"/>
      <c r="E58" s="904"/>
      <c r="F58" s="633"/>
      <c r="G58" s="633"/>
      <c r="H58" s="633"/>
      <c r="I58" s="905"/>
    </row>
    <row r="59" spans="2:10">
      <c r="B59" s="950" t="s">
        <v>21</v>
      </c>
      <c r="C59" s="839"/>
      <c r="D59" s="840"/>
      <c r="E59" s="906" t="s">
        <v>86</v>
      </c>
      <c r="F59" s="906" t="s">
        <v>300</v>
      </c>
      <c r="G59" s="906" t="s">
        <v>301</v>
      </c>
      <c r="H59" s="906" t="s">
        <v>302</v>
      </c>
      <c r="I59" s="907" t="s">
        <v>303</v>
      </c>
    </row>
    <row r="60" spans="2:10">
      <c r="B60" s="950" t="s">
        <v>18</v>
      </c>
      <c r="C60" s="839"/>
      <c r="D60" s="840"/>
      <c r="E60" s="902">
        <f t="shared" ref="E60:I61" si="4">+(E53*0.5+F53*0.5)</f>
        <v>40301.789780625666</v>
      </c>
      <c r="F60" s="902">
        <f t="shared" si="4"/>
        <v>42378.35609784133</v>
      </c>
      <c r="G60" s="902">
        <f t="shared" si="4"/>
        <v>45728.432688800065</v>
      </c>
      <c r="H60" s="902">
        <f t="shared" si="4"/>
        <v>48577.65153401898</v>
      </c>
      <c r="I60" s="903">
        <f t="shared" si="4"/>
        <v>24547.497328212266</v>
      </c>
    </row>
    <row r="61" spans="2:10">
      <c r="B61" s="950" t="s">
        <v>14</v>
      </c>
      <c r="C61" s="839"/>
      <c r="D61" s="840"/>
      <c r="E61" s="902">
        <f t="shared" si="4"/>
        <v>2454.2172037816881</v>
      </c>
      <c r="F61" s="902">
        <f t="shared" si="4"/>
        <v>3030.8756996596976</v>
      </c>
      <c r="G61" s="902">
        <f t="shared" si="4"/>
        <v>4304.7908773090367</v>
      </c>
      <c r="H61" s="902">
        <f t="shared" si="4"/>
        <v>5165.0953660233499</v>
      </c>
      <c r="I61" s="903">
        <f t="shared" si="4"/>
        <v>2679.9220201080034</v>
      </c>
    </row>
    <row r="62" spans="2:10">
      <c r="B62" s="1010" t="s">
        <v>12</v>
      </c>
      <c r="C62" s="839"/>
      <c r="D62" s="840"/>
      <c r="E62" s="902">
        <f>+E63+E64</f>
        <v>6185.4635002123414</v>
      </c>
      <c r="F62" s="902">
        <f>+F63+F64</f>
        <v>8882.8131265623415</v>
      </c>
      <c r="G62" s="902">
        <f>+G63+G64</f>
        <v>6629.1127529123423</v>
      </c>
      <c r="H62" s="902">
        <f>+H63+H64</f>
        <v>6313.1123792623421</v>
      </c>
      <c r="I62" s="903">
        <f>+I63+I64</f>
        <v>2944.1060962186707</v>
      </c>
    </row>
    <row r="63" spans="2:10">
      <c r="B63" s="1009" t="s">
        <v>333</v>
      </c>
      <c r="C63" s="839"/>
      <c r="D63" s="840"/>
      <c r="E63" s="902">
        <f>+(E56*0.5+F56*0.5)+CND!B15/1000</f>
        <v>3387.6504969873417</v>
      </c>
      <c r="F63" s="902">
        <f>+(F56*0.5+G56*0.5)+CND!C15/1000</f>
        <v>5946.1504969873422</v>
      </c>
      <c r="G63" s="902">
        <f>+(G56*0.5+H56*0.5)+CND!D15/1000</f>
        <v>3607.1504969873417</v>
      </c>
      <c r="H63" s="902">
        <f>+(H56*0.5+I56*0.5)+CND!E15/1000</f>
        <v>3187.6504969873417</v>
      </c>
      <c r="I63" s="903">
        <f>+(I56*0.5+J56*0.5)</f>
        <v>1348.8252484936709</v>
      </c>
    </row>
    <row r="64" spans="2:10">
      <c r="B64" s="1009" t="s">
        <v>13</v>
      </c>
      <c r="C64" s="839"/>
      <c r="D64" s="840"/>
      <c r="E64" s="902">
        <f>+(E57*0.5+F57*0.5)</f>
        <v>2797.8130032250001</v>
      </c>
      <c r="F64" s="902">
        <f>+(F57*0.5+G57*0.5)</f>
        <v>2936.6626295750002</v>
      </c>
      <c r="G64" s="902">
        <f>+(G57*0.5+H57*0.5)</f>
        <v>3021.9622559250001</v>
      </c>
      <c r="H64" s="902">
        <f>+(H57*0.5+I57*0.5)</f>
        <v>3125.4618822749999</v>
      </c>
      <c r="I64" s="903">
        <f>+(I57*0.5+J57*0.5)</f>
        <v>1595.2808477249998</v>
      </c>
    </row>
    <row r="65" spans="2:17">
      <c r="B65" s="949"/>
      <c r="C65" s="839"/>
      <c r="D65" s="840"/>
      <c r="E65" s="904"/>
      <c r="F65" s="633"/>
      <c r="G65" s="633"/>
      <c r="H65" s="633"/>
      <c r="I65" s="905"/>
    </row>
    <row r="66" spans="2:17">
      <c r="B66" s="1011" t="s">
        <v>19</v>
      </c>
      <c r="C66" s="839"/>
      <c r="D66" s="840"/>
      <c r="E66" s="908">
        <f>1/(1+RRT/2)</f>
        <v>0.94917184756300133</v>
      </c>
      <c r="F66" s="909">
        <f>E66/(1+RRT)</f>
        <v>0.85734969520639626</v>
      </c>
      <c r="G66" s="909">
        <f>F66/(1+RRT)</f>
        <v>0.77441034703856593</v>
      </c>
      <c r="H66" s="909">
        <f>G66/(1+RRT)</f>
        <v>0.69949448743434739</v>
      </c>
      <c r="I66" s="910">
        <f>H66/(1+RRT)</f>
        <v>0.63182593029929313</v>
      </c>
      <c r="K66" s="21"/>
      <c r="L66" s="21"/>
      <c r="M66" s="1082"/>
      <c r="N66" s="1082"/>
      <c r="O66" s="1082"/>
      <c r="P66" s="1082"/>
      <c r="Q66" s="21"/>
    </row>
    <row r="67" spans="2:17" ht="15" thickBot="1">
      <c r="B67" s="949"/>
      <c r="C67" s="839"/>
      <c r="D67" s="840"/>
      <c r="E67" s="911"/>
      <c r="F67" s="912"/>
      <c r="G67" s="912"/>
      <c r="H67" s="912"/>
      <c r="I67" s="913"/>
      <c r="K67" s="27"/>
      <c r="L67" s="21"/>
      <c r="M67" s="591"/>
      <c r="N67" s="591"/>
      <c r="O67" s="591"/>
      <c r="P67" s="591"/>
      <c r="Q67" s="21"/>
    </row>
    <row r="68" spans="2:17" ht="15">
      <c r="B68" s="1012" t="s">
        <v>48</v>
      </c>
      <c r="C68" s="914"/>
      <c r="D68" s="915" t="s">
        <v>20</v>
      </c>
      <c r="E68" s="916"/>
      <c r="F68" s="917"/>
      <c r="G68" s="918"/>
      <c r="H68" s="919"/>
      <c r="I68" s="920"/>
      <c r="K68" s="21"/>
      <c r="L68" s="21"/>
      <c r="M68" s="592"/>
      <c r="N68" s="592"/>
      <c r="O68" s="592"/>
      <c r="P68" s="592"/>
      <c r="Q68" s="21"/>
    </row>
    <row r="69" spans="2:17" ht="15">
      <c r="B69" s="950" t="s">
        <v>18</v>
      </c>
      <c r="C69" s="839"/>
      <c r="D69" s="921">
        <f t="shared" ref="D69:D75" si="5">SUM(E69:H69)</f>
        <v>143978.76583862086</v>
      </c>
      <c r="E69" s="922">
        <f>+E$66*E60</f>
        <v>38253.324266172152</v>
      </c>
      <c r="F69" s="922">
        <f>+F$66*F60</f>
        <v>36333.070683832389</v>
      </c>
      <c r="G69" s="922">
        <f>+G$66*G60</f>
        <v>35412.571428063362</v>
      </c>
      <c r="H69" s="922">
        <f>+H$66*H60</f>
        <v>33979.799460552946</v>
      </c>
      <c r="I69" s="923">
        <f>+I$66*I60</f>
        <v>15509.745335917127</v>
      </c>
      <c r="K69" s="21"/>
      <c r="L69" s="21"/>
      <c r="M69" s="593"/>
      <c r="N69" s="593"/>
      <c r="O69" s="593"/>
      <c r="P69" s="593"/>
      <c r="Q69" s="21"/>
    </row>
    <row r="70" spans="2:17">
      <c r="B70" s="950" t="s">
        <v>61</v>
      </c>
      <c r="C70" s="839"/>
      <c r="D70" s="902">
        <f t="shared" si="5"/>
        <v>118852.72262631606</v>
      </c>
      <c r="E70" s="922">
        <f>E69*ACTIVOS!$C$119/ACTIVOS!$C$118</f>
        <v>31577.654608026431</v>
      </c>
      <c r="F70" s="922">
        <f>F69*ACTIVOS!$C$119/ACTIVOS!$C$118</f>
        <v>29992.508596635922</v>
      </c>
      <c r="G70" s="922">
        <f>G69*ACTIVOS!$C$119/ACTIVOS!$C$118</f>
        <v>29232.647640151044</v>
      </c>
      <c r="H70" s="922">
        <f>H69*ACTIVOS!$C$119/ACTIVOS!$C$118</f>
        <v>28049.911781502658</v>
      </c>
      <c r="I70" s="923">
        <f>I69*ACTIVOS!$C$119/ACTIVOS!$C$118</f>
        <v>12803.106414182712</v>
      </c>
      <c r="K70" s="21"/>
      <c r="L70" s="21"/>
      <c r="M70" s="592"/>
      <c r="N70" s="592"/>
      <c r="O70" s="592"/>
      <c r="P70" s="592"/>
      <c r="Q70" s="21"/>
    </row>
    <row r="71" spans="2:17">
      <c r="B71" s="950" t="s">
        <v>62</v>
      </c>
      <c r="C71" s="839"/>
      <c r="D71" s="902">
        <f t="shared" si="5"/>
        <v>25126.043212304787</v>
      </c>
      <c r="E71" s="922">
        <f>E69*ACTIVOS!$C$120/ACTIVOS!$C$118</f>
        <v>6675.6696581457209</v>
      </c>
      <c r="F71" s="922">
        <f>F69*ACTIVOS!$C$120/ACTIVOS!$C$118</f>
        <v>6340.5620871964647</v>
      </c>
      <c r="G71" s="922">
        <f>G69*ACTIVOS!$C$120/ACTIVOS!$C$118</f>
        <v>6179.9237879123148</v>
      </c>
      <c r="H71" s="922">
        <f>H69*ACTIVOS!$C$120/ACTIVOS!$C$118</f>
        <v>5929.8876790502873</v>
      </c>
      <c r="I71" s="923">
        <f>I69*ACTIVOS!$C$120/ACTIVOS!$C$118</f>
        <v>2706.6389217344135</v>
      </c>
      <c r="K71" s="27"/>
      <c r="L71" s="21"/>
      <c r="M71" s="422"/>
      <c r="N71" s="422"/>
      <c r="O71" s="422"/>
      <c r="P71" s="422"/>
      <c r="Q71" s="21"/>
    </row>
    <row r="72" spans="2:17" ht="15">
      <c r="B72" s="950" t="s">
        <v>14</v>
      </c>
      <c r="C72" s="839"/>
      <c r="D72" s="921">
        <f t="shared" si="5"/>
        <v>11874.624567777453</v>
      </c>
      <c r="E72" s="922">
        <f>+E$66*E61</f>
        <v>2329.4738776343679</v>
      </c>
      <c r="F72" s="922">
        <f>+F$66*F61</f>
        <v>2598.5203573117146</v>
      </c>
      <c r="G72" s="922">
        <f>+G$66*G61</f>
        <v>3333.6745972253439</v>
      </c>
      <c r="H72" s="922">
        <f>+H$66*H61</f>
        <v>3612.9557356060259</v>
      </c>
      <c r="I72" s="923">
        <f>+I$66*I61</f>
        <v>1693.2442234843002</v>
      </c>
      <c r="K72" s="27"/>
      <c r="L72" s="21"/>
      <c r="M72" s="422"/>
      <c r="N72" s="422"/>
      <c r="O72" s="422"/>
      <c r="P72" s="422"/>
      <c r="Q72" s="21"/>
    </row>
    <row r="73" spans="2:17" ht="15">
      <c r="B73" s="950" t="s">
        <v>12</v>
      </c>
      <c r="C73" s="839"/>
      <c r="D73" s="921">
        <f t="shared" si="5"/>
        <v>23036.385760551828</v>
      </c>
      <c r="E73" s="922">
        <f>+E74+E75</f>
        <v>5871.0678185300576</v>
      </c>
      <c r="F73" s="922">
        <f>+F74+F75</f>
        <v>7615.6771266336</v>
      </c>
      <c r="G73" s="922">
        <f>+G74+G75</f>
        <v>5133.65350754063</v>
      </c>
      <c r="H73" s="922">
        <f>+H74+H75</f>
        <v>4415.9873078475448</v>
      </c>
      <c r="I73" s="923">
        <f>+I74+I75</f>
        <v>1860.1625731431818</v>
      </c>
      <c r="K73" s="21"/>
      <c r="L73" s="21"/>
      <c r="M73" s="594"/>
      <c r="N73" s="594"/>
      <c r="O73" s="594"/>
      <c r="P73" s="594"/>
      <c r="Q73" s="21"/>
    </row>
    <row r="74" spans="2:17">
      <c r="B74" s="1009" t="s">
        <v>44</v>
      </c>
      <c r="C74" s="839"/>
      <c r="D74" s="902">
        <f t="shared" si="5"/>
        <v>13336.55141606896</v>
      </c>
      <c r="E74" s="922">
        <f t="shared" ref="E74:I75" si="6">+E$66*E63</f>
        <v>3215.4624811231947</v>
      </c>
      <c r="F74" s="922">
        <f t="shared" si="6"/>
        <v>5097.9303162434599</v>
      </c>
      <c r="G74" s="922">
        <f t="shared" si="6"/>
        <v>2793.414668192303</v>
      </c>
      <c r="H74" s="922">
        <f t="shared" si="6"/>
        <v>2229.7439505100033</v>
      </c>
      <c r="I74" s="923">
        <f t="shared" si="6"/>
        <v>852.22276744068881</v>
      </c>
      <c r="K74" s="27"/>
      <c r="L74" s="21"/>
      <c r="M74" s="590"/>
      <c r="N74" s="590"/>
      <c r="O74" s="590"/>
      <c r="P74" s="590"/>
      <c r="Q74" s="21"/>
    </row>
    <row r="75" spans="2:17">
      <c r="B75" s="1009" t="s">
        <v>13</v>
      </c>
      <c r="C75" s="839"/>
      <c r="D75" s="902">
        <f t="shared" si="5"/>
        <v>9699.8343444828715</v>
      </c>
      <c r="E75" s="922">
        <f t="shared" si="6"/>
        <v>2655.6053374068629</v>
      </c>
      <c r="F75" s="922">
        <f t="shared" si="6"/>
        <v>2517.7468103901406</v>
      </c>
      <c r="G75" s="922">
        <f t="shared" si="6"/>
        <v>2340.238839348327</v>
      </c>
      <c r="H75" s="922">
        <f t="shared" si="6"/>
        <v>2186.2433573375415</v>
      </c>
      <c r="I75" s="923">
        <f t="shared" si="6"/>
        <v>1007.939805702493</v>
      </c>
      <c r="K75" s="21"/>
      <c r="L75" s="21"/>
      <c r="M75" s="21"/>
      <c r="N75" s="21"/>
      <c r="O75" s="21"/>
      <c r="P75" s="21"/>
      <c r="Q75" s="21"/>
    </row>
    <row r="76" spans="2:17" ht="15.75" thickBot="1">
      <c r="B76" s="1013" t="s">
        <v>16</v>
      </c>
      <c r="C76" s="924"/>
      <c r="D76" s="925">
        <f t="shared" ref="D76:I76" si="7">D69+D72+D73</f>
        <v>178889.77616695012</v>
      </c>
      <c r="E76" s="926">
        <f t="shared" si="7"/>
        <v>46453.865962336575</v>
      </c>
      <c r="F76" s="926">
        <f t="shared" si="7"/>
        <v>46547.268167777707</v>
      </c>
      <c r="G76" s="926">
        <f t="shared" si="7"/>
        <v>43879.899532829331</v>
      </c>
      <c r="H76" s="926">
        <f t="shared" si="7"/>
        <v>42008.742504006514</v>
      </c>
      <c r="I76" s="927">
        <f t="shared" si="7"/>
        <v>19063.152132544608</v>
      </c>
      <c r="K76" s="21"/>
      <c r="L76" s="21"/>
      <c r="M76" s="490"/>
      <c r="N76" s="490"/>
      <c r="O76" s="490"/>
      <c r="P76" s="490"/>
      <c r="Q76" s="21"/>
    </row>
    <row r="77" spans="2:17">
      <c r="B77" s="891"/>
      <c r="C77" s="839"/>
      <c r="D77" s="928"/>
      <c r="E77" s="929"/>
      <c r="F77" s="839"/>
      <c r="G77" s="929"/>
      <c r="H77" s="929"/>
      <c r="I77" s="929"/>
      <c r="K77" s="27"/>
      <c r="L77" s="21"/>
      <c r="M77" s="21"/>
      <c r="N77" s="21"/>
      <c r="O77" s="21"/>
      <c r="P77" s="21"/>
      <c r="Q77" s="21"/>
    </row>
    <row r="78" spans="2:17">
      <c r="B78" s="682" t="s">
        <v>79</v>
      </c>
      <c r="C78" s="682"/>
      <c r="D78" s="682"/>
      <c r="E78" s="682"/>
      <c r="F78" s="682"/>
      <c r="G78" s="682"/>
      <c r="H78" s="682"/>
      <c r="I78" s="930"/>
      <c r="K78" s="180"/>
      <c r="L78" s="21"/>
      <c r="M78" s="21"/>
      <c r="N78" s="21"/>
      <c r="O78" s="21"/>
      <c r="P78" s="21"/>
      <c r="Q78" s="21"/>
    </row>
    <row r="79" spans="2:17">
      <c r="B79" s="682" t="s">
        <v>304</v>
      </c>
      <c r="C79" s="682"/>
      <c r="D79" s="682"/>
      <c r="E79" s="930"/>
      <c r="F79" s="930"/>
      <c r="G79" s="930"/>
      <c r="H79" s="930"/>
      <c r="I79" s="930"/>
      <c r="K79" s="180"/>
      <c r="L79" s="21"/>
      <c r="M79" s="21"/>
      <c r="N79" s="21"/>
      <c r="O79" s="21"/>
      <c r="P79" s="21"/>
      <c r="Q79" s="21"/>
    </row>
    <row r="80" spans="2:17">
      <c r="K80" s="180"/>
      <c r="L80" s="21"/>
      <c r="M80" s="21"/>
      <c r="N80" s="21"/>
      <c r="O80" s="21"/>
      <c r="P80" s="21"/>
      <c r="Q80" s="21"/>
    </row>
    <row r="81" spans="3:18">
      <c r="C81" s="21"/>
      <c r="D81" s="22"/>
      <c r="E81" s="21"/>
      <c r="F81" s="21"/>
      <c r="I81" s="931"/>
      <c r="K81" s="180"/>
      <c r="L81" s="21"/>
      <c r="M81" s="21"/>
      <c r="N81" s="21"/>
      <c r="O81" s="21"/>
      <c r="P81" s="21"/>
      <c r="Q81" s="21"/>
    </row>
    <row r="82" spans="3:18">
      <c r="C82" s="21"/>
      <c r="D82" s="589"/>
      <c r="E82" s="29"/>
      <c r="F82" s="21"/>
      <c r="K82" s="21"/>
      <c r="L82" s="21"/>
      <c r="M82" s="21"/>
      <c r="N82" s="21"/>
      <c r="O82" s="21"/>
      <c r="P82" s="21"/>
      <c r="Q82" s="21"/>
    </row>
    <row r="83" spans="3:18">
      <c r="C83" s="21"/>
      <c r="D83" s="456"/>
      <c r="E83" s="27"/>
      <c r="F83" s="21"/>
    </row>
    <row r="84" spans="3:18">
      <c r="C84" s="21"/>
      <c r="D84" s="590"/>
      <c r="E84" s="27"/>
      <c r="F84" s="21"/>
      <c r="M84" s="1081"/>
      <c r="N84" s="1081"/>
      <c r="O84" s="1081"/>
      <c r="P84" s="1081"/>
    </row>
    <row r="85" spans="3:18">
      <c r="C85" s="21"/>
      <c r="D85" s="21"/>
      <c r="E85" s="21"/>
      <c r="F85" s="21"/>
      <c r="J85" s="586"/>
      <c r="K85" s="586"/>
      <c r="L85" s="586"/>
      <c r="M85" s="586"/>
      <c r="N85" s="586"/>
      <c r="O85" s="586"/>
      <c r="P85" s="586"/>
      <c r="Q85" s="586"/>
      <c r="R85" s="586"/>
    </row>
    <row r="86" spans="3:18">
      <c r="J86" s="586"/>
      <c r="K86" s="586"/>
      <c r="L86" s="586"/>
      <c r="M86" s="586"/>
      <c r="N86" s="586"/>
      <c r="O86" s="586"/>
      <c r="P86" s="586"/>
      <c r="Q86" s="586"/>
      <c r="R86" s="586"/>
    </row>
    <row r="87" spans="3:18">
      <c r="E87" s="9"/>
      <c r="J87" s="586"/>
      <c r="K87" s="586"/>
      <c r="L87" s="586"/>
      <c r="M87" s="586"/>
      <c r="N87" s="586"/>
      <c r="O87" s="586"/>
      <c r="P87" s="586"/>
      <c r="Q87" s="586"/>
      <c r="R87" s="586"/>
    </row>
    <row r="88" spans="3:18">
      <c r="J88" s="586"/>
      <c r="K88" s="586"/>
      <c r="L88" s="586"/>
      <c r="M88" s="586"/>
      <c r="N88" s="586"/>
      <c r="O88" s="586"/>
      <c r="P88" s="586"/>
      <c r="Q88" s="586"/>
      <c r="R88" s="586"/>
    </row>
    <row r="89" spans="3:18">
      <c r="D89" s="9"/>
      <c r="I89" s="585"/>
      <c r="J89" s="586"/>
      <c r="K89" s="586"/>
      <c r="L89" s="586"/>
      <c r="M89" s="586"/>
      <c r="N89" s="586"/>
      <c r="O89" s="586"/>
      <c r="P89" s="586"/>
      <c r="Q89" s="586"/>
      <c r="R89" s="586"/>
    </row>
    <row r="90" spans="3:18">
      <c r="D90" s="9"/>
      <c r="J90" s="586"/>
      <c r="K90" s="586"/>
      <c r="L90" s="586"/>
      <c r="M90" s="586"/>
      <c r="N90" s="586"/>
      <c r="O90" s="586"/>
      <c r="P90" s="586"/>
      <c r="Q90" s="586"/>
      <c r="R90" s="586"/>
    </row>
    <row r="91" spans="3:18">
      <c r="J91" s="586"/>
      <c r="K91" s="586"/>
      <c r="L91" s="586"/>
      <c r="M91" s="586"/>
      <c r="N91" s="586"/>
      <c r="O91" s="586"/>
      <c r="P91" s="586"/>
      <c r="Q91" s="586"/>
      <c r="R91" s="586"/>
    </row>
    <row r="92" spans="3:18">
      <c r="D92" s="9"/>
      <c r="K92" s="1"/>
      <c r="M92" s="587"/>
      <c r="N92" s="587"/>
      <c r="O92" s="587"/>
      <c r="P92" s="587"/>
    </row>
    <row r="94" spans="3:18">
      <c r="M94" s="585"/>
      <c r="N94" s="585"/>
      <c r="O94" s="585"/>
      <c r="P94" s="585"/>
    </row>
    <row r="95" spans="3:18">
      <c r="K95" s="1"/>
    </row>
    <row r="96" spans="3:18">
      <c r="K96" s="67"/>
    </row>
    <row r="97" spans="11:11">
      <c r="K97" s="67"/>
    </row>
    <row r="98" spans="11:11">
      <c r="K98" s="67"/>
    </row>
    <row r="99" spans="11:11">
      <c r="K99" s="67"/>
    </row>
  </sheetData>
  <sheetProtection password="CC27" sheet="1" formatCells="0" formatColumns="0" formatRows="0" insertColumns="0" insertRows="0" insertHyperlinks="0" deleteColumns="0" deleteRows="0" sort="0" autoFilter="0" pivotTables="0"/>
  <mergeCells count="8">
    <mergeCell ref="M84:P84"/>
    <mergeCell ref="M66:P66"/>
    <mergeCell ref="B47:I47"/>
    <mergeCell ref="B48:I48"/>
    <mergeCell ref="B3:I3"/>
    <mergeCell ref="B4:I4"/>
    <mergeCell ref="B5:I5"/>
    <mergeCell ref="B46:I46"/>
  </mergeCells>
  <phoneticPr fontId="0" type="noConversion"/>
  <printOptions horizontalCentered="1" verticalCentered="1" gridLines="1"/>
  <pageMargins left="0.75" right="0.75" top="1" bottom="1" header="0.51181102362204722" footer="0.51181102362204722"/>
  <pageSetup scale="85" orientation="landscape" horizontalDpi="300" r:id="rId1"/>
  <headerFooter alignWithMargins="0">
    <oddHeader>&amp;RIMP</oddHeader>
    <oddFooter xml:space="preserve">&amp;CPágina &amp;P&amp;RIMP ETESA 2009- 2013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zoomScale="75" workbookViewId="0">
      <selection activeCell="H25" sqref="H25"/>
    </sheetView>
  </sheetViews>
  <sheetFormatPr baseColWidth="10" defaultRowHeight="12.75"/>
  <cols>
    <col min="1" max="1" width="5.5703125" customWidth="1"/>
    <col min="2" max="2" width="28.85546875" customWidth="1"/>
    <col min="3" max="3" width="17.28515625" customWidth="1"/>
    <col min="4" max="4" width="7.85546875" customWidth="1"/>
    <col min="5" max="5" width="8.5703125" hidden="1" customWidth="1"/>
    <col min="6" max="6" width="5.42578125" hidden="1" customWidth="1"/>
    <col min="7" max="7" width="31.7109375" customWidth="1"/>
    <col min="8" max="8" width="15.42578125" customWidth="1"/>
  </cols>
  <sheetData>
    <row r="2" spans="1:10" ht="20.25">
      <c r="B2" s="40" t="s">
        <v>335</v>
      </c>
    </row>
    <row r="3" spans="1:10">
      <c r="B3" s="45"/>
    </row>
    <row r="4" spans="1:10">
      <c r="B4" s="1081" t="s">
        <v>143</v>
      </c>
      <c r="C4" s="1081"/>
      <c r="D4" s="1081"/>
      <c r="E4" s="1081"/>
      <c r="F4" s="1081"/>
      <c r="G4" s="1081"/>
      <c r="H4" s="1081"/>
    </row>
    <row r="5" spans="1:10">
      <c r="B5" s="1177" t="s">
        <v>713</v>
      </c>
      <c r="C5" s="1177"/>
      <c r="D5" s="1177"/>
      <c r="E5" s="1177"/>
      <c r="F5" s="1177"/>
      <c r="G5" s="1177"/>
      <c r="H5" s="1177"/>
    </row>
    <row r="6" spans="1:10" ht="13.5" thickBot="1"/>
    <row r="7" spans="1:10" ht="16.5" customHeight="1" thickBot="1">
      <c r="B7" s="787" t="s">
        <v>23</v>
      </c>
      <c r="C7" s="786" t="s">
        <v>57</v>
      </c>
      <c r="D7" s="5"/>
      <c r="E7" s="5" t="s">
        <v>334</v>
      </c>
      <c r="F7" s="5"/>
      <c r="G7" s="34" t="s">
        <v>144</v>
      </c>
      <c r="H7" s="792" t="s">
        <v>57</v>
      </c>
    </row>
    <row r="8" spans="1:10">
      <c r="A8">
        <v>1</v>
      </c>
      <c r="B8" s="788" t="s">
        <v>145</v>
      </c>
      <c r="C8" s="580">
        <v>11534757</v>
      </c>
      <c r="D8" s="91"/>
      <c r="E8" s="93" t="e">
        <f>+C8/#REF!-1</f>
        <v>#REF!</v>
      </c>
      <c r="F8" s="37"/>
      <c r="G8" s="215" t="s">
        <v>148</v>
      </c>
      <c r="H8" s="793">
        <v>10442596.420516593</v>
      </c>
    </row>
    <row r="9" spans="1:10">
      <c r="A9">
        <v>2</v>
      </c>
      <c r="B9" s="789" t="s">
        <v>147</v>
      </c>
      <c r="C9" s="213">
        <v>20410922</v>
      </c>
      <c r="D9" s="91"/>
      <c r="E9" s="93" t="e">
        <f>+C9/#REF!-1</f>
        <v>#REF!</v>
      </c>
      <c r="F9" s="5"/>
      <c r="G9" s="215" t="s">
        <v>150</v>
      </c>
      <c r="H9" s="793">
        <v>766364.39760153915</v>
      </c>
      <c r="J9" s="583"/>
    </row>
    <row r="10" spans="1:10">
      <c r="A10">
        <v>3</v>
      </c>
      <c r="B10" s="789" t="s">
        <v>149</v>
      </c>
      <c r="C10" s="213">
        <v>6395117</v>
      </c>
      <c r="D10" s="91"/>
      <c r="E10" s="93" t="e">
        <f>+C10/#REF!-1</f>
        <v>#REF!</v>
      </c>
      <c r="F10" s="5"/>
      <c r="G10" s="215" t="s">
        <v>151</v>
      </c>
      <c r="H10" s="793">
        <v>1694110.0052126781</v>
      </c>
    </row>
    <row r="11" spans="1:10">
      <c r="A11">
        <v>4</v>
      </c>
      <c r="B11" s="789" t="s">
        <v>409</v>
      </c>
      <c r="C11" s="213">
        <v>21649643</v>
      </c>
      <c r="D11" s="91"/>
      <c r="E11" s="93" t="e">
        <f>+C11/#REF!-1</f>
        <v>#REF!</v>
      </c>
      <c r="F11" s="5"/>
      <c r="G11" s="215" t="s">
        <v>153</v>
      </c>
      <c r="H11" s="793">
        <v>7141393.6145764235</v>
      </c>
    </row>
    <row r="12" spans="1:10">
      <c r="A12">
        <v>5</v>
      </c>
      <c r="B12" s="789" t="s">
        <v>152</v>
      </c>
      <c r="C12" s="213">
        <v>18745610</v>
      </c>
      <c r="D12" s="91"/>
      <c r="E12" s="93" t="e">
        <f>+C12/#REF!-1</f>
        <v>#REF!</v>
      </c>
      <c r="F12" s="5"/>
      <c r="G12" s="215" t="s">
        <v>155</v>
      </c>
      <c r="H12" s="793">
        <v>700791</v>
      </c>
    </row>
    <row r="13" spans="1:10">
      <c r="A13">
        <v>6</v>
      </c>
      <c r="B13" s="789" t="s">
        <v>154</v>
      </c>
      <c r="C13" s="213">
        <v>13975059</v>
      </c>
      <c r="D13" s="91"/>
      <c r="E13" s="93" t="e">
        <f>+C13/#REF!-1</f>
        <v>#REF!</v>
      </c>
      <c r="F13" s="5"/>
      <c r="G13" s="215" t="s">
        <v>157</v>
      </c>
      <c r="H13" s="793">
        <v>2140822</v>
      </c>
    </row>
    <row r="14" spans="1:10">
      <c r="A14">
        <v>7</v>
      </c>
      <c r="B14" s="789" t="s">
        <v>156</v>
      </c>
      <c r="C14" s="213">
        <v>6172969</v>
      </c>
      <c r="D14" s="91"/>
      <c r="E14" s="93" t="e">
        <f>+C14/#REF!-1</f>
        <v>#REF!</v>
      </c>
      <c r="F14" s="5"/>
      <c r="G14" s="215" t="s">
        <v>158</v>
      </c>
      <c r="H14" s="793">
        <v>1376848.61</v>
      </c>
    </row>
    <row r="15" spans="1:10">
      <c r="A15">
        <v>8</v>
      </c>
      <c r="B15" s="789" t="s">
        <v>756</v>
      </c>
      <c r="C15" s="213">
        <v>15433069</v>
      </c>
      <c r="D15" s="91"/>
      <c r="E15" s="93" t="e">
        <f>+C15/#REF!-1</f>
        <v>#REF!</v>
      </c>
      <c r="F15" s="37"/>
      <c r="G15" s="215" t="s">
        <v>153</v>
      </c>
      <c r="H15" s="793">
        <v>3027627.5430406481</v>
      </c>
    </row>
    <row r="16" spans="1:10" ht="14.25" customHeight="1" thickBot="1">
      <c r="A16">
        <v>9</v>
      </c>
      <c r="B16" s="789" t="s">
        <v>159</v>
      </c>
      <c r="C16" s="213">
        <v>3529167</v>
      </c>
      <c r="D16" s="91"/>
      <c r="E16" s="93" t="e">
        <f>+C16/#REF!-1</f>
        <v>#REF!</v>
      </c>
      <c r="F16" s="19"/>
      <c r="G16" s="216" t="s">
        <v>328</v>
      </c>
      <c r="H16" s="794">
        <v>443220.70615699806</v>
      </c>
    </row>
    <row r="17" spans="1:8" ht="16.5" customHeight="1" thickBot="1">
      <c r="A17">
        <v>10</v>
      </c>
      <c r="B17" s="789" t="s">
        <v>160</v>
      </c>
      <c r="C17" s="213">
        <v>4681989.409642186</v>
      </c>
      <c r="D17" s="91"/>
      <c r="E17" s="93" t="e">
        <f>+C17/#REF!-1</f>
        <v>#REF!</v>
      </c>
      <c r="F17" s="19"/>
      <c r="G17" s="86" t="s">
        <v>162</v>
      </c>
      <c r="H17" s="795">
        <f>SUM(H8:H16)</f>
        <v>27733774.29710488</v>
      </c>
    </row>
    <row r="18" spans="1:8">
      <c r="A18">
        <v>11</v>
      </c>
      <c r="B18" s="789" t="s">
        <v>161</v>
      </c>
      <c r="C18" s="213">
        <v>6680264.5391652044</v>
      </c>
      <c r="D18" s="91"/>
      <c r="E18" s="93" t="e">
        <f>+C18/#REF!-1</f>
        <v>#REF!</v>
      </c>
      <c r="F18" s="19"/>
      <c r="G18" s="696"/>
      <c r="H18" s="92"/>
    </row>
    <row r="19" spans="1:8">
      <c r="A19">
        <v>12</v>
      </c>
      <c r="B19" s="789" t="s">
        <v>163</v>
      </c>
      <c r="C19" s="213">
        <v>6722669.6324626394</v>
      </c>
      <c r="D19" s="91"/>
      <c r="E19" s="93" t="e">
        <f>+C19/#REF!-1</f>
        <v>#REF!</v>
      </c>
      <c r="F19" s="19"/>
      <c r="G19" s="696"/>
      <c r="H19" s="92"/>
    </row>
    <row r="20" spans="1:8" ht="13.5" thickBot="1">
      <c r="A20">
        <v>13</v>
      </c>
      <c r="B20" s="789" t="s">
        <v>164</v>
      </c>
      <c r="C20" s="213">
        <v>3925855.3721666578</v>
      </c>
      <c r="D20" s="91"/>
      <c r="E20" s="93" t="e">
        <f>+C20/#REF!-1</f>
        <v>#REF!</v>
      </c>
      <c r="F20" s="19"/>
      <c r="G20" s="19"/>
      <c r="H20" s="49"/>
    </row>
    <row r="21" spans="1:8">
      <c r="A21">
        <v>14</v>
      </c>
      <c r="B21" s="789" t="s">
        <v>165</v>
      </c>
      <c r="C21" s="213">
        <v>5887043.7359619178</v>
      </c>
      <c r="D21" s="91"/>
      <c r="E21" s="93"/>
      <c r="F21" s="19"/>
      <c r="G21" s="87" t="s">
        <v>23</v>
      </c>
      <c r="H21" s="50">
        <f>C25</f>
        <v>165196416.07344368</v>
      </c>
    </row>
    <row r="22" spans="1:8" ht="13.5" thickBot="1">
      <c r="A22">
        <v>15</v>
      </c>
      <c r="B22" s="789" t="s">
        <v>329</v>
      </c>
      <c r="C22" s="213">
        <v>3333803.638080223</v>
      </c>
      <c r="D22" s="91"/>
      <c r="E22" s="93"/>
      <c r="F22" s="19"/>
      <c r="G22" s="88" t="s">
        <v>144</v>
      </c>
      <c r="H22" s="51">
        <f>H17</f>
        <v>27733774.29710488</v>
      </c>
    </row>
    <row r="23" spans="1:8" ht="13.5" thickBot="1">
      <c r="A23">
        <v>16</v>
      </c>
      <c r="B23" s="790" t="s">
        <v>146</v>
      </c>
      <c r="C23" s="213">
        <v>16118476.745964857</v>
      </c>
      <c r="F23" s="19"/>
      <c r="G23" s="89" t="s">
        <v>85</v>
      </c>
      <c r="H23" s="52">
        <f>SUM(H21:H22)</f>
        <v>192930190.37054855</v>
      </c>
    </row>
    <row r="24" spans="1:8" ht="13.5" thickBot="1">
      <c r="B24" s="791"/>
      <c r="C24" s="214"/>
      <c r="F24" s="19"/>
    </row>
    <row r="25" spans="1:8" ht="13.5" thickBot="1">
      <c r="B25" s="579" t="s">
        <v>162</v>
      </c>
      <c r="C25" s="51">
        <f>SUM(C8:C23)</f>
        <v>165196416.07344368</v>
      </c>
      <c r="D25" s="92"/>
      <c r="E25" s="93"/>
    </row>
    <row r="26" spans="1:8">
      <c r="B26" s="19"/>
      <c r="C26" s="19"/>
      <c r="D26" s="19"/>
      <c r="E26" s="19"/>
    </row>
    <row r="27" spans="1:8">
      <c r="B27" s="10"/>
      <c r="C27" s="35"/>
      <c r="D27" s="35"/>
      <c r="E27" s="35"/>
      <c r="F27" s="44"/>
    </row>
    <row r="28" spans="1:8">
      <c r="B28" s="19" t="s">
        <v>757</v>
      </c>
      <c r="C28" s="100"/>
      <c r="D28" s="35"/>
      <c r="E28" s="35"/>
      <c r="F28" s="44"/>
    </row>
    <row r="29" spans="1:8">
      <c r="B29" s="19"/>
      <c r="C29" s="19"/>
      <c r="D29" s="19"/>
      <c r="E29" s="19"/>
      <c r="F29" s="44"/>
    </row>
    <row r="30" spans="1:8">
      <c r="B30" s="19"/>
      <c r="C30" s="19"/>
      <c r="D30" s="19"/>
      <c r="E30" s="19"/>
    </row>
  </sheetData>
  <sheetProtection password="CC27" sheet="1" formatCells="0" formatColumns="0" formatRows="0" insertColumns="0" insertRows="0" insertHyperlinks="0" deleteColumns="0" deleteRows="0" sort="0" autoFilter="0" pivotTables="0"/>
  <mergeCells count="2">
    <mergeCell ref="B5:H5"/>
    <mergeCell ref="B4:H4"/>
  </mergeCells>
  <phoneticPr fontId="0" type="noConversion"/>
  <printOptions horizontalCentered="1" verticalCentered="1"/>
  <pageMargins left="0.39370078740157483" right="0.39370078740157483" top="0.78740157480314965" bottom="0.78740157480314965" header="0.39370078740157483" footer="0.39370078740157483"/>
  <pageSetup orientation="landscape" r:id="rId1"/>
  <headerFooter alignWithMargins="0">
    <oddHeader>&amp;RVNR SUB ESTACIONES</oddHeader>
    <oddFooter>&amp;C IMP ETESA&amp;R&amp;P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1"/>
  <sheetViews>
    <sheetView zoomScale="75" workbookViewId="0">
      <selection activeCell="E13" sqref="E13"/>
    </sheetView>
  </sheetViews>
  <sheetFormatPr baseColWidth="10" defaultRowHeight="12.75"/>
  <cols>
    <col min="1" max="1" width="7.42578125" customWidth="1"/>
    <col min="2" max="2" width="13.140625" customWidth="1"/>
    <col min="3" max="3" width="15.28515625" customWidth="1"/>
    <col min="4" max="4" width="15" customWidth="1"/>
    <col min="5" max="5" width="14.85546875" customWidth="1"/>
    <col min="7" max="7" width="17.42578125" bestFit="1" customWidth="1"/>
  </cols>
  <sheetData>
    <row r="1" spans="2:5" ht="15.75">
      <c r="B1" s="103" t="s">
        <v>737</v>
      </c>
    </row>
    <row r="2" spans="2:5">
      <c r="B2" s="1"/>
    </row>
    <row r="3" spans="2:5" ht="15">
      <c r="B3" s="217" t="s">
        <v>330</v>
      </c>
      <c r="C3" s="218" t="s">
        <v>88</v>
      </c>
      <c r="D3" s="218" t="s">
        <v>89</v>
      </c>
      <c r="E3" s="219" t="s">
        <v>16</v>
      </c>
    </row>
    <row r="4" spans="2:5" ht="15">
      <c r="B4" s="112" t="s">
        <v>87</v>
      </c>
      <c r="C4" s="220">
        <f>+'VNR LÍNEAS'!$G$35</f>
        <v>230411895.76401484</v>
      </c>
      <c r="D4" s="220">
        <f>+'VNR SE'!$C$25</f>
        <v>165196416.07344368</v>
      </c>
      <c r="E4" s="221">
        <f>SUM(C4:D4)</f>
        <v>395608311.83745849</v>
      </c>
    </row>
    <row r="5" spans="2:5" ht="15">
      <c r="B5" s="112" t="s">
        <v>36</v>
      </c>
      <c r="C5" s="220">
        <f>+'VNR LÍNEAS'!$G$45</f>
        <v>4114080</v>
      </c>
      <c r="D5" s="220">
        <f>+'VNR SE'!$H$17</f>
        <v>27733774.29710488</v>
      </c>
      <c r="E5" s="221">
        <f>SUM(C5:D5)</f>
        <v>31847854.29710488</v>
      </c>
    </row>
    <row r="6" spans="2:5" ht="15">
      <c r="B6" s="112" t="s">
        <v>16</v>
      </c>
      <c r="C6" s="226">
        <f>SUM(C4:C5)</f>
        <v>234525975.76401484</v>
      </c>
      <c r="D6" s="226">
        <f>SUM(D4:D5)</f>
        <v>192930190.37054855</v>
      </c>
      <c r="E6" s="227">
        <f>SUM(E4:E5)</f>
        <v>427456166.13456339</v>
      </c>
    </row>
    <row r="7" spans="2:5" ht="14.25">
      <c r="B7" s="113"/>
      <c r="C7" s="108"/>
      <c r="D7" s="108"/>
      <c r="E7" s="222"/>
    </row>
    <row r="8" spans="2:5" ht="15">
      <c r="B8" s="112" t="s">
        <v>87</v>
      </c>
      <c r="C8" s="223" t="s">
        <v>88</v>
      </c>
      <c r="D8" s="223" t="s">
        <v>89</v>
      </c>
      <c r="E8" s="224" t="s">
        <v>16</v>
      </c>
    </row>
    <row r="9" spans="2:5" ht="15">
      <c r="B9" s="112" t="s">
        <v>75</v>
      </c>
      <c r="C9" s="220">
        <f>+SUM('VNR LÍNEAS'!$G$11:$G$21)+SUM('VNR LÍNEAS'!$G$29:$G$32)</f>
        <v>206632830</v>
      </c>
      <c r="D9" s="220">
        <f>+(SUM('VNR SE'!$C$8:$C$14)+'VNR SE'!$C$19+'VNR SE'!$C$21+'VNR SE'!$C$22)</f>
        <v>114827594.00650477</v>
      </c>
      <c r="E9" s="221">
        <f>SUM(C9:D9)</f>
        <v>321460424.00650477</v>
      </c>
    </row>
    <row r="10" spans="2:5" ht="15">
      <c r="B10" s="112" t="s">
        <v>66</v>
      </c>
      <c r="C10" s="220">
        <f>+SUM('VNR LÍNEAS'!$G$23:$G$27)+'VNR LÍNEAS'!$G$34</f>
        <v>23779065.764014833</v>
      </c>
      <c r="D10" s="220">
        <f>+('VNR SE'!$C$15+'VNR SE'!$C$16+'VNR SE'!$C$17+'VNR SE'!$C$18+'VNR SE'!$C$20+'VNR SE'!C23)</f>
        <v>50368822.066938899</v>
      </c>
      <c r="E10" s="221">
        <f>SUM(C10:D10)</f>
        <v>74147887.830953732</v>
      </c>
    </row>
    <row r="11" spans="2:5" ht="15">
      <c r="B11" s="225" t="s">
        <v>16</v>
      </c>
      <c r="C11" s="228">
        <f>SUM(C9:C10)</f>
        <v>230411895.76401484</v>
      </c>
      <c r="D11" s="228">
        <f>SUM(D9:D10)</f>
        <v>165196416.07344368</v>
      </c>
      <c r="E11" s="229">
        <f>SUM(E9:E10)</f>
        <v>395608311.83745849</v>
      </c>
    </row>
  </sheetData>
  <sheetProtection password="CC27" sheet="1" formatCells="0" formatColumns="0" formatRows="0" insertColumns="0" insertRows="0" insertHyperlinks="0" deleteColumns="0" deleteRows="0" sort="0" autoFilter="0" pivotTables="0"/>
  <phoneticPr fontId="0" type="noConversion"/>
  <printOptions horizontalCentered="1" verticalCentered="1" gridLines="1"/>
  <pageMargins left="0.78740157480314965" right="0.78740157480314965" top="0.98425196850393704" bottom="0.98425196850393704" header="0" footer="0"/>
  <pageSetup orientation="landscape" horizontalDpi="300" verticalDpi="300" r:id="rId1"/>
  <headerFooter alignWithMargins="0">
    <oddHeader>&amp;RVNR RESUMEN</oddHeader>
    <oddFooter>&amp;CIMP ETESA&amp;R&amp;P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K48"/>
  <sheetViews>
    <sheetView zoomScale="75" workbookViewId="0">
      <selection activeCell="I23" sqref="I23"/>
    </sheetView>
  </sheetViews>
  <sheetFormatPr baseColWidth="10" defaultRowHeight="12.75"/>
  <cols>
    <col min="1" max="1" width="25.28515625" customWidth="1"/>
    <col min="2" max="2" width="12.85546875" bestFit="1" customWidth="1"/>
    <col min="6" max="6" width="13.28515625" customWidth="1"/>
    <col min="7" max="7" width="13.85546875" customWidth="1"/>
    <col min="8" max="8" width="5.5703125" customWidth="1"/>
    <col min="9" max="9" width="11.42578125" style="84"/>
    <col min="10" max="10" width="32.5703125" bestFit="1" customWidth="1"/>
    <col min="11" max="11" width="17.140625" bestFit="1" customWidth="1"/>
  </cols>
  <sheetData>
    <row r="2" spans="1:11">
      <c r="A2" s="11" t="s">
        <v>44</v>
      </c>
    </row>
    <row r="3" spans="1:11">
      <c r="A3" s="1" t="s">
        <v>712</v>
      </c>
      <c r="J3" s="1081" t="s">
        <v>337</v>
      </c>
      <c r="K3" s="1081"/>
    </row>
    <row r="4" spans="1:11" ht="13.5" thickBot="1">
      <c r="A4" s="62"/>
      <c r="B4" s="2">
        <v>2009</v>
      </c>
      <c r="C4" s="2">
        <f>+B4+1</f>
        <v>2010</v>
      </c>
      <c r="D4" s="2">
        <f>+C4+1</f>
        <v>2011</v>
      </c>
      <c r="E4" s="2">
        <f>+D4+1</f>
        <v>2012</v>
      </c>
      <c r="F4" s="2">
        <f>+E4+1</f>
        <v>2013</v>
      </c>
      <c r="G4" s="67" t="s">
        <v>85</v>
      </c>
      <c r="H4" s="67"/>
      <c r="I4" s="90">
        <f>+I6/I26</f>
        <v>1.1238866726854941</v>
      </c>
    </row>
    <row r="5" spans="1:11" ht="13.5" thickBot="1">
      <c r="A5" s="62" t="s">
        <v>84</v>
      </c>
      <c r="B5" s="63">
        <f>+$K$14/1000</f>
        <v>2538.4974969873419</v>
      </c>
      <c r="C5" s="63">
        <f>+$K$14/1000</f>
        <v>2538.4974969873419</v>
      </c>
      <c r="D5" s="63">
        <f>+$K$14/1000</f>
        <v>2538.4974969873419</v>
      </c>
      <c r="E5" s="63">
        <f>+$K$14/1000</f>
        <v>2538.4974969873419</v>
      </c>
      <c r="F5" s="63">
        <f>+$K$14/1000</f>
        <v>2538.4974969873419</v>
      </c>
      <c r="G5" s="18">
        <f>+SUM(B5:F5)</f>
        <v>12692.48748493671</v>
      </c>
      <c r="H5" s="18"/>
      <c r="I5" s="95"/>
      <c r="J5" s="61" t="s">
        <v>271</v>
      </c>
      <c r="K5" s="60" t="s">
        <v>272</v>
      </c>
    </row>
    <row r="6" spans="1:11">
      <c r="A6" s="62" t="s">
        <v>80</v>
      </c>
      <c r="B6" s="68">
        <v>159.15299999999999</v>
      </c>
      <c r="C6" s="68">
        <v>159.15299999999999</v>
      </c>
      <c r="D6" s="68">
        <v>159.15299999999999</v>
      </c>
      <c r="E6" s="68">
        <v>159.15299999999999</v>
      </c>
      <c r="F6" s="68">
        <v>159.15299999999999</v>
      </c>
      <c r="G6" s="18">
        <f>+SUM(B6:F6)</f>
        <v>795.76499999999999</v>
      </c>
      <c r="H6" s="18"/>
      <c r="I6" s="236">
        <f>8298215/395/12</f>
        <v>1750.6782700421943</v>
      </c>
      <c r="J6" s="28" t="s">
        <v>269</v>
      </c>
      <c r="K6" s="54">
        <f>I6*1.47</f>
        <v>2573.4970569620255</v>
      </c>
    </row>
    <row r="7" spans="1:11">
      <c r="A7" s="62" t="s">
        <v>30</v>
      </c>
      <c r="F7" s="66"/>
      <c r="G7" s="75">
        <f>+F15/1000</f>
        <v>5338</v>
      </c>
      <c r="H7" s="18"/>
      <c r="I7" s="95"/>
      <c r="J7" s="28" t="s">
        <v>270</v>
      </c>
      <c r="K7" s="57">
        <v>60</v>
      </c>
    </row>
    <row r="8" spans="1:11">
      <c r="A8" s="2" t="s">
        <v>16</v>
      </c>
      <c r="B8" s="64">
        <f>SUM(B5:B7)</f>
        <v>2697.6504969873417</v>
      </c>
      <c r="C8" s="64">
        <f>SUM(C5:C7)</f>
        <v>2697.6504969873417</v>
      </c>
      <c r="D8" s="64">
        <f>SUM(D5:D7)</f>
        <v>2697.6504969873417</v>
      </c>
      <c r="E8" s="64">
        <f>SUM(E5:E7)</f>
        <v>2697.6504969873417</v>
      </c>
      <c r="F8" s="64">
        <f>SUM(F5:F7)</f>
        <v>2697.6504969873417</v>
      </c>
      <c r="G8" s="18">
        <f>+SUM(G5:G7)</f>
        <v>18826.252484936711</v>
      </c>
      <c r="H8" s="18"/>
      <c r="I8" s="95"/>
      <c r="J8" s="28" t="s">
        <v>268</v>
      </c>
      <c r="K8" s="54">
        <f>K6*12*K7</f>
        <v>1852917.8810126584</v>
      </c>
    </row>
    <row r="9" spans="1:11">
      <c r="A9" s="1"/>
      <c r="B9" s="24"/>
      <c r="I9" s="97">
        <v>0.37</v>
      </c>
      <c r="J9" s="28" t="s">
        <v>263</v>
      </c>
      <c r="K9" s="54">
        <f>K8*I9</f>
        <v>685579.61597468355</v>
      </c>
    </row>
    <row r="10" spans="1:11" ht="13.5" thickBot="1">
      <c r="I10" s="95"/>
      <c r="J10" s="55" t="s">
        <v>264</v>
      </c>
      <c r="K10" s="56">
        <f>SUM(K8:K9)</f>
        <v>2538497.4969873419</v>
      </c>
    </row>
    <row r="11" spans="1:11">
      <c r="A11" s="53" t="s">
        <v>266</v>
      </c>
      <c r="B11" s="26">
        <v>60</v>
      </c>
      <c r="C11" s="26">
        <v>60</v>
      </c>
      <c r="D11" s="26">
        <v>60</v>
      </c>
      <c r="E11" s="26">
        <v>60</v>
      </c>
      <c r="F11" s="26">
        <v>60</v>
      </c>
      <c r="J11" s="53"/>
      <c r="K11" s="53"/>
    </row>
    <row r="12" spans="1:11">
      <c r="B12" s="7"/>
      <c r="J12" s="62" t="s">
        <v>265</v>
      </c>
      <c r="K12" s="58">
        <v>0</v>
      </c>
    </row>
    <row r="13" spans="1:11">
      <c r="A13" t="s">
        <v>308</v>
      </c>
      <c r="J13" s="53"/>
      <c r="K13" s="53"/>
    </row>
    <row r="14" spans="1:11">
      <c r="B14" s="70" t="s">
        <v>86</v>
      </c>
      <c r="C14" s="70" t="s">
        <v>300</v>
      </c>
      <c r="D14" s="70" t="s">
        <v>301</v>
      </c>
      <c r="E14" s="70" t="s">
        <v>302</v>
      </c>
      <c r="F14" s="70" t="s">
        <v>85</v>
      </c>
      <c r="J14" s="2" t="s">
        <v>16</v>
      </c>
      <c r="K14" s="59">
        <f>K10+K12</f>
        <v>2538497.4969873419</v>
      </c>
    </row>
    <row r="15" spans="1:11">
      <c r="B15" s="71">
        <f>+'CND AJUSTADO -RES'!E15</f>
        <v>690000</v>
      </c>
      <c r="C15" s="71">
        <f>+'CND AJUSTADO -RES'!F15</f>
        <v>3248500</v>
      </c>
      <c r="D15" s="71">
        <f>+'CND AJUSTADO -RES'!G15</f>
        <v>909500</v>
      </c>
      <c r="E15" s="71">
        <f>+'CND AJUSTADO -RES'!H15</f>
        <v>490000</v>
      </c>
      <c r="F15" s="71">
        <f>+SUM(B15:E15)</f>
        <v>5338000</v>
      </c>
      <c r="J15" s="3"/>
      <c r="K15" s="69"/>
    </row>
    <row r="16" spans="1:11">
      <c r="J16" s="3"/>
      <c r="K16" s="69"/>
    </row>
    <row r="17" spans="1:11">
      <c r="J17" s="3"/>
      <c r="K17" s="69"/>
    </row>
    <row r="18" spans="1:11">
      <c r="J18" s="3"/>
      <c r="K18" s="69"/>
    </row>
    <row r="19" spans="1:11">
      <c r="J19" s="3"/>
      <c r="K19" s="69"/>
    </row>
    <row r="21" spans="1:11">
      <c r="A21" s="1"/>
    </row>
    <row r="22" spans="1:11">
      <c r="A22" s="11" t="s">
        <v>44</v>
      </c>
    </row>
    <row r="23" spans="1:11">
      <c r="A23" s="1" t="s">
        <v>309</v>
      </c>
      <c r="J23" s="1081" t="s">
        <v>338</v>
      </c>
      <c r="K23" s="1081"/>
    </row>
    <row r="24" spans="1:11" ht="13.5" thickBot="1">
      <c r="A24" s="62"/>
      <c r="B24" s="2">
        <v>2005</v>
      </c>
      <c r="C24" s="2">
        <v>2006</v>
      </c>
      <c r="D24" s="2">
        <v>2007</v>
      </c>
      <c r="E24" s="2">
        <v>2008</v>
      </c>
      <c r="F24" s="2">
        <v>2009</v>
      </c>
      <c r="G24" s="752" t="s">
        <v>85</v>
      </c>
      <c r="H24" s="67"/>
    </row>
    <row r="25" spans="1:11" ht="13.5" thickBot="1">
      <c r="A25" s="62" t="s">
        <v>84</v>
      </c>
      <c r="B25" s="63">
        <f>+$K$34/1000</f>
        <v>2308.6774616000002</v>
      </c>
      <c r="C25" s="63">
        <f>+$K$34/1000</f>
        <v>2308.6774616000002</v>
      </c>
      <c r="D25" s="63">
        <f>+$K$34/1000</f>
        <v>2308.6774616000002</v>
      </c>
      <c r="E25" s="63">
        <f>+$K$34/1000</f>
        <v>2308.6774616000002</v>
      </c>
      <c r="F25" s="63">
        <f>+$K$34/1000</f>
        <v>2308.6774616000002</v>
      </c>
      <c r="G25" s="555">
        <f>+SUM(B25:F25)</f>
        <v>11543.387308000001</v>
      </c>
      <c r="H25" s="18"/>
      <c r="I25" s="95"/>
      <c r="J25" s="61" t="s">
        <v>271</v>
      </c>
      <c r="K25" s="60" t="s">
        <v>272</v>
      </c>
    </row>
    <row r="26" spans="1:11">
      <c r="A26" s="62" t="s">
        <v>80</v>
      </c>
      <c r="B26" s="65">
        <v>147</v>
      </c>
      <c r="C26" s="65">
        <v>147</v>
      </c>
      <c r="D26" s="65">
        <v>147</v>
      </c>
      <c r="E26" s="65">
        <v>147</v>
      </c>
      <c r="F26" s="65">
        <v>147</v>
      </c>
      <c r="G26" s="555">
        <f>+SUM(B26:F26)</f>
        <v>735</v>
      </c>
      <c r="H26" s="18"/>
      <c r="I26" s="96">
        <v>1557.7</v>
      </c>
      <c r="J26" s="28" t="s">
        <v>269</v>
      </c>
      <c r="K26" s="54">
        <f>I26*1.47</f>
        <v>2289.819</v>
      </c>
    </row>
    <row r="27" spans="1:11">
      <c r="A27" s="62" t="s">
        <v>30</v>
      </c>
      <c r="B27" s="66">
        <v>595</v>
      </c>
      <c r="C27" s="66">
        <v>340</v>
      </c>
      <c r="D27" s="66">
        <v>0</v>
      </c>
      <c r="E27" s="66">
        <v>236</v>
      </c>
      <c r="F27" s="66">
        <v>0</v>
      </c>
      <c r="G27" s="805">
        <f>+SUM(B27:F27)</f>
        <v>1171</v>
      </c>
      <c r="H27" s="18"/>
      <c r="I27" s="95"/>
      <c r="J27" s="28" t="s">
        <v>270</v>
      </c>
      <c r="K27" s="57">
        <v>60</v>
      </c>
    </row>
    <row r="28" spans="1:11">
      <c r="A28" s="2" t="s">
        <v>16</v>
      </c>
      <c r="B28" s="64">
        <f>SUM(B25:B27)</f>
        <v>3050.6774616000002</v>
      </c>
      <c r="C28" s="64">
        <f>SUM(C25:C27)</f>
        <v>2795.6774616000002</v>
      </c>
      <c r="D28" s="64">
        <f>SUM(D25:D27)</f>
        <v>2455.6774616000002</v>
      </c>
      <c r="E28" s="64">
        <f>SUM(E25:E27)</f>
        <v>2691.6774616000002</v>
      </c>
      <c r="F28" s="64">
        <f>SUM(F25:F27)</f>
        <v>2455.6774616000002</v>
      </c>
      <c r="G28" s="555">
        <f>+SUM(G25:G27)</f>
        <v>13449.387308000001</v>
      </c>
      <c r="H28" s="18"/>
      <c r="I28" s="95"/>
      <c r="J28" s="28" t="s">
        <v>268</v>
      </c>
      <c r="K28" s="54">
        <f>K26*12*K27</f>
        <v>1648669.6800000002</v>
      </c>
    </row>
    <row r="29" spans="1:11">
      <c r="A29" s="1"/>
      <c r="B29" s="24"/>
      <c r="I29" s="97">
        <v>0.37</v>
      </c>
      <c r="J29" s="28" t="s">
        <v>263</v>
      </c>
      <c r="K29" s="54">
        <f>K28*I29</f>
        <v>610007.7816000001</v>
      </c>
    </row>
    <row r="30" spans="1:11" ht="13.5" thickBot="1">
      <c r="I30" s="95"/>
      <c r="J30" s="55" t="s">
        <v>264</v>
      </c>
      <c r="K30" s="56">
        <f>SUM(K28:K29)</f>
        <v>2258677.4616</v>
      </c>
    </row>
    <row r="31" spans="1:11">
      <c r="A31" s="53" t="s">
        <v>266</v>
      </c>
      <c r="B31" s="26">
        <v>60</v>
      </c>
      <c r="C31" s="26">
        <v>60</v>
      </c>
      <c r="D31" s="26">
        <v>60</v>
      </c>
      <c r="E31" s="26">
        <v>60</v>
      </c>
      <c r="F31" s="26">
        <v>60</v>
      </c>
      <c r="J31" s="53"/>
      <c r="K31" s="53"/>
    </row>
    <row r="32" spans="1:11">
      <c r="B32" s="7"/>
      <c r="J32" s="62" t="s">
        <v>265</v>
      </c>
      <c r="K32" s="58">
        <v>50000</v>
      </c>
    </row>
    <row r="33" spans="1:11">
      <c r="J33" s="53"/>
      <c r="K33" s="53"/>
    </row>
    <row r="34" spans="1:11">
      <c r="F34" s="27" t="s">
        <v>307</v>
      </c>
      <c r="J34" s="2" t="s">
        <v>16</v>
      </c>
      <c r="K34" s="59">
        <f>K30+K32</f>
        <v>2308677.4616</v>
      </c>
    </row>
    <row r="35" spans="1:11">
      <c r="F35" s="72" t="s">
        <v>84</v>
      </c>
      <c r="G35" s="74">
        <f>+G5/G25-1</f>
        <v>9.9546185731837822E-2</v>
      </c>
    </row>
    <row r="36" spans="1:11">
      <c r="F36" s="72" t="s">
        <v>80</v>
      </c>
      <c r="G36" s="74">
        <f>+G6/G26-1</f>
        <v>8.2673469387755105E-2</v>
      </c>
      <c r="I36" s="98"/>
      <c r="K36" s="6"/>
    </row>
    <row r="37" spans="1:11">
      <c r="F37" s="72" t="s">
        <v>30</v>
      </c>
      <c r="G37" s="74">
        <f>+G7/G27-1</f>
        <v>3.5584970111016228</v>
      </c>
    </row>
    <row r="38" spans="1:11">
      <c r="F38" s="73" t="s">
        <v>16</v>
      </c>
      <c r="G38" s="74">
        <f>+G8/G28-1</f>
        <v>0.39978513918908609</v>
      </c>
    </row>
    <row r="40" spans="1:11">
      <c r="G40" s="77">
        <f>+(G5+G6)/(G25+G26)-1</f>
        <v>9.8536163307734848E-2</v>
      </c>
    </row>
    <row r="42" spans="1:11">
      <c r="A42" s="11" t="s">
        <v>44</v>
      </c>
    </row>
    <row r="43" spans="1:11">
      <c r="A43" s="1" t="s">
        <v>305</v>
      </c>
    </row>
    <row r="44" spans="1:11" ht="15">
      <c r="A44" s="131" t="s">
        <v>537</v>
      </c>
      <c r="B44" s="131">
        <v>2009</v>
      </c>
      <c r="C44" s="131">
        <f>+B44+1</f>
        <v>2010</v>
      </c>
      <c r="D44" s="131">
        <f>+C44+1</f>
        <v>2011</v>
      </c>
      <c r="E44" s="131">
        <f>+D44+1</f>
        <v>2012</v>
      </c>
      <c r="F44" s="131">
        <f>+E44+1</f>
        <v>2013</v>
      </c>
    </row>
    <row r="45" spans="1:11" ht="14.25">
      <c r="A45" s="150" t="s">
        <v>536</v>
      </c>
      <c r="B45" s="186">
        <f>+$K$14/1000</f>
        <v>2538.4974969873419</v>
      </c>
      <c r="C45" s="186">
        <f>+$K$14/1000</f>
        <v>2538.4974969873419</v>
      </c>
      <c r="D45" s="186">
        <f>+$K$14/1000</f>
        <v>2538.4974969873419</v>
      </c>
      <c r="E45" s="186">
        <f>+$K$14/1000</f>
        <v>2538.4974969873419</v>
      </c>
      <c r="F45" s="186">
        <f>+$K$14/1000</f>
        <v>2538.4974969873419</v>
      </c>
    </row>
    <row r="46" spans="1:11" ht="14.25">
      <c r="A46" s="150" t="s">
        <v>80</v>
      </c>
      <c r="B46" s="186">
        <v>159.15299999999999</v>
      </c>
      <c r="C46" s="186">
        <v>159.15299999999999</v>
      </c>
      <c r="D46" s="186">
        <v>159.15299999999999</v>
      </c>
      <c r="E46" s="186">
        <v>159.15299999999999</v>
      </c>
      <c r="F46" s="186">
        <v>159.15299999999999</v>
      </c>
    </row>
    <row r="47" spans="1:11" ht="14.25">
      <c r="A47" s="150" t="s">
        <v>30</v>
      </c>
      <c r="B47" s="186"/>
      <c r="C47" s="186">
        <f>+B15/1000</f>
        <v>690</v>
      </c>
      <c r="D47" s="186">
        <f>+C15/1000</f>
        <v>3248.5</v>
      </c>
      <c r="E47" s="186">
        <f>+D15/1000</f>
        <v>909.5</v>
      </c>
      <c r="F47" s="186">
        <f>+E15/1000</f>
        <v>490</v>
      </c>
      <c r="G47" s="18"/>
    </row>
    <row r="48" spans="1:11" ht="15">
      <c r="A48" s="131" t="s">
        <v>16</v>
      </c>
      <c r="B48" s="187">
        <f>+SUM(B45:B47)</f>
        <v>2697.6504969873417</v>
      </c>
      <c r="C48" s="187">
        <f>+SUM(C45:C47)</f>
        <v>3387.6504969873417</v>
      </c>
      <c r="D48" s="187">
        <f>+SUM(D45:D47)</f>
        <v>5946.1504969873422</v>
      </c>
      <c r="E48" s="187">
        <f>+SUM(E45:E47)</f>
        <v>3607.1504969873417</v>
      </c>
      <c r="F48" s="187">
        <f>+SUM(F45:F47)</f>
        <v>3187.6504969873417</v>
      </c>
    </row>
  </sheetData>
  <sheetProtection password="CC27" sheet="1" formatCells="0" formatColumns="0" formatRows="0" insertColumns="0" insertRows="0" insertHyperlinks="0" deleteColumns="0" deleteRows="0" sort="0" autoFilter="0" pivotTables="0"/>
  <mergeCells count="2">
    <mergeCell ref="J3:K3"/>
    <mergeCell ref="J23:K23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90" orientation="portrait" horizontalDpi="300" verticalDpi="300" r:id="rId1"/>
  <headerFooter alignWithMargins="0">
    <oddHeader>&amp;RGASTOS FUNCIONAMIENTO CND</oddHeader>
    <oddFooter>&amp;C IMP ETESA&amp;R&amp;P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J74"/>
  <sheetViews>
    <sheetView topLeftCell="C42" zoomScale="75" workbookViewId="0">
      <selection activeCell="H65" sqref="H65"/>
    </sheetView>
  </sheetViews>
  <sheetFormatPr baseColWidth="10" defaultRowHeight="15"/>
  <cols>
    <col min="1" max="1" width="0" hidden="1" customWidth="1"/>
    <col min="2" max="2" width="5.140625" style="427" hidden="1" customWidth="1"/>
    <col min="3" max="3" width="47.140625" style="424" customWidth="1"/>
    <col min="4" max="4" width="12.42578125" style="425" customWidth="1"/>
    <col min="5" max="5" width="15.140625" style="425" customWidth="1"/>
    <col min="6" max="6" width="12.42578125" style="425" customWidth="1"/>
    <col min="7" max="7" width="14" style="425" customWidth="1"/>
    <col min="8" max="8" width="14.5703125" style="426" customWidth="1"/>
    <col min="10" max="10" width="11.7109375" bestFit="1" customWidth="1"/>
  </cols>
  <sheetData>
    <row r="1" spans="2:8" ht="18">
      <c r="B1"/>
      <c r="C1" s="423"/>
      <c r="D1" s="424"/>
    </row>
    <row r="3" spans="2:8" ht="12.75">
      <c r="B3" s="1083" t="s">
        <v>739</v>
      </c>
      <c r="C3" s="1083"/>
      <c r="D3" s="1083"/>
      <c r="E3" s="1083"/>
      <c r="F3" s="1083"/>
      <c r="G3" s="1083"/>
      <c r="H3" s="1083"/>
    </row>
    <row r="4" spans="2:8" ht="15" customHeight="1">
      <c r="B4" s="1179" t="s">
        <v>583</v>
      </c>
      <c r="C4" s="1179"/>
      <c r="D4" s="1179"/>
      <c r="E4" s="1179"/>
      <c r="F4" s="1179"/>
      <c r="G4" s="1179"/>
      <c r="H4" s="1179"/>
    </row>
    <row r="5" spans="2:8" ht="14.25" customHeight="1">
      <c r="B5" s="1180" t="s">
        <v>584</v>
      </c>
      <c r="C5" s="1180"/>
      <c r="D5" s="1180"/>
      <c r="E5" s="1180"/>
      <c r="F5" s="1180"/>
      <c r="G5" s="1180"/>
      <c r="H5" s="1180"/>
    </row>
    <row r="6" spans="2:8" ht="25.5">
      <c r="B6" s="513" t="s">
        <v>585</v>
      </c>
      <c r="C6" s="513" t="s">
        <v>586</v>
      </c>
      <c r="D6" s="70" t="s">
        <v>86</v>
      </c>
      <c r="E6" s="70" t="s">
        <v>300</v>
      </c>
      <c r="F6" s="70" t="s">
        <v>301</v>
      </c>
      <c r="G6" s="70" t="s">
        <v>302</v>
      </c>
      <c r="H6" s="70" t="s">
        <v>85</v>
      </c>
    </row>
    <row r="7" spans="2:8" s="1" customFormat="1" ht="12.75">
      <c r="B7" s="1178">
        <v>1</v>
      </c>
      <c r="C7" s="515" t="s">
        <v>587</v>
      </c>
      <c r="D7" s="515">
        <f>SUM(D8:D15)</f>
        <v>72500</v>
      </c>
      <c r="E7" s="515">
        <f>SUM(E8:E15)</f>
        <v>46500</v>
      </c>
      <c r="F7" s="515">
        <f>SUM(F8:F15)</f>
        <v>58500</v>
      </c>
      <c r="G7" s="515">
        <f>SUM(G8:G15)</f>
        <v>62500</v>
      </c>
      <c r="H7" s="515">
        <f>SUM(H8:H15)</f>
        <v>240000</v>
      </c>
    </row>
    <row r="8" spans="2:8" ht="12.75">
      <c r="B8" s="1178"/>
      <c r="C8" s="516" t="s">
        <v>588</v>
      </c>
      <c r="D8" s="517">
        <v>40000</v>
      </c>
      <c r="E8" s="517"/>
      <c r="F8" s="517"/>
      <c r="G8" s="517"/>
      <c r="H8" s="518">
        <f t="shared" ref="H8:H15" si="0">SUM(D8:G8)</f>
        <v>40000</v>
      </c>
    </row>
    <row r="9" spans="2:8" ht="12.75">
      <c r="B9" s="1178"/>
      <c r="C9" s="516" t="s">
        <v>589</v>
      </c>
      <c r="D9" s="517">
        <v>2000</v>
      </c>
      <c r="E9" s="517">
        <v>12000</v>
      </c>
      <c r="F9" s="517"/>
      <c r="G9" s="517">
        <v>16000</v>
      </c>
      <c r="H9" s="518">
        <f t="shared" si="0"/>
        <v>30000</v>
      </c>
    </row>
    <row r="10" spans="2:8" ht="12.75">
      <c r="B10" s="1178"/>
      <c r="C10" s="516" t="s">
        <v>590</v>
      </c>
      <c r="D10" s="517">
        <v>22500</v>
      </c>
      <c r="E10" s="517">
        <v>13500</v>
      </c>
      <c r="F10" s="517">
        <v>13500</v>
      </c>
      <c r="G10" s="517">
        <v>31500</v>
      </c>
      <c r="H10" s="518">
        <f t="shared" si="0"/>
        <v>81000</v>
      </c>
    </row>
    <row r="11" spans="2:8" ht="25.5">
      <c r="B11" s="1178"/>
      <c r="C11" s="516" t="s">
        <v>591</v>
      </c>
      <c r="D11" s="517">
        <v>4000</v>
      </c>
      <c r="E11" s="517"/>
      <c r="F11" s="517">
        <v>15000</v>
      </c>
      <c r="G11" s="517"/>
      <c r="H11" s="518">
        <f t="shared" si="0"/>
        <v>19000</v>
      </c>
    </row>
    <row r="12" spans="2:8" ht="12.75">
      <c r="B12" s="1178"/>
      <c r="C12" s="516" t="s">
        <v>592</v>
      </c>
      <c r="D12" s="519">
        <v>4000</v>
      </c>
      <c r="E12" s="519"/>
      <c r="F12" s="519">
        <v>30000</v>
      </c>
      <c r="G12" s="519"/>
      <c r="H12" s="518">
        <f t="shared" si="0"/>
        <v>34000</v>
      </c>
    </row>
    <row r="13" spans="2:8" ht="12.75">
      <c r="B13" s="1178"/>
      <c r="C13" s="516" t="s">
        <v>593</v>
      </c>
      <c r="D13" s="519"/>
      <c r="E13" s="519">
        <v>10000</v>
      </c>
      <c r="F13" s="519"/>
      <c r="G13" s="519">
        <v>15000</v>
      </c>
      <c r="H13" s="518">
        <f t="shared" si="0"/>
        <v>25000</v>
      </c>
    </row>
    <row r="14" spans="2:8" ht="12.75">
      <c r="B14" s="1178"/>
      <c r="C14" s="516" t="s">
        <v>594</v>
      </c>
      <c r="D14" s="519"/>
      <c r="E14" s="519">
        <v>5000</v>
      </c>
      <c r="F14" s="519"/>
      <c r="G14" s="519" t="s">
        <v>98</v>
      </c>
      <c r="H14" s="518">
        <f t="shared" si="0"/>
        <v>5000</v>
      </c>
    </row>
    <row r="15" spans="2:8" ht="12.75">
      <c r="B15" s="1178"/>
      <c r="C15" s="516" t="s">
        <v>595</v>
      </c>
      <c r="D15" s="519"/>
      <c r="E15" s="519">
        <v>6000</v>
      </c>
      <c r="F15" s="519"/>
      <c r="G15" s="519"/>
      <c r="H15" s="518">
        <f t="shared" si="0"/>
        <v>6000</v>
      </c>
    </row>
    <row r="16" spans="2:8" s="1" customFormat="1" ht="12.75">
      <c r="B16" s="1178">
        <v>2</v>
      </c>
      <c r="C16" s="515" t="s">
        <v>596</v>
      </c>
      <c r="D16" s="515">
        <f>SUM(D17:D20)</f>
        <v>56000</v>
      </c>
      <c r="E16" s="515">
        <f>SUM(E17:E20)</f>
        <v>18000</v>
      </c>
      <c r="F16" s="515">
        <f>SUM(F17:F20)</f>
        <v>18000</v>
      </c>
      <c r="G16" s="515">
        <f>SUM(G17:G20)</f>
        <v>72000</v>
      </c>
      <c r="H16" s="515">
        <f>SUM(H17:H20)</f>
        <v>164000</v>
      </c>
    </row>
    <row r="17" spans="2:10" ht="12.75">
      <c r="B17" s="1178"/>
      <c r="C17" s="516" t="s">
        <v>597</v>
      </c>
      <c r="D17" s="517">
        <v>26000</v>
      </c>
      <c r="E17" s="517"/>
      <c r="F17" s="517"/>
      <c r="G17" s="71">
        <v>26000</v>
      </c>
      <c r="H17" s="71">
        <f>SUM(D17:G17)</f>
        <v>52000</v>
      </c>
    </row>
    <row r="18" spans="2:10" ht="25.5">
      <c r="B18" s="1178"/>
      <c r="C18" s="522" t="s">
        <v>598</v>
      </c>
      <c r="D18" s="517">
        <v>20000</v>
      </c>
      <c r="E18" s="517"/>
      <c r="F18" s="517"/>
      <c r="G18" s="517">
        <v>10000</v>
      </c>
      <c r="H18" s="71">
        <f>SUM(D18:G18)</f>
        <v>30000</v>
      </c>
    </row>
    <row r="19" spans="2:10" ht="25.5">
      <c r="B19" s="1178"/>
      <c r="C19" s="522" t="s">
        <v>599</v>
      </c>
      <c r="D19" s="517">
        <v>8500</v>
      </c>
      <c r="E19" s="517">
        <v>18000</v>
      </c>
      <c r="F19" s="517">
        <v>18000</v>
      </c>
      <c r="G19" s="517">
        <v>36000</v>
      </c>
      <c r="H19" s="71">
        <f>SUM(D19:G19)</f>
        <v>80500</v>
      </c>
    </row>
    <row r="20" spans="2:10" ht="12.75">
      <c r="B20" s="1178"/>
      <c r="C20" s="516" t="s">
        <v>600</v>
      </c>
      <c r="D20" s="517">
        <v>1500</v>
      </c>
      <c r="E20" s="517"/>
      <c r="F20" s="517"/>
      <c r="G20" s="517"/>
      <c r="H20" s="71">
        <f>SUM(D20:G20)</f>
        <v>1500</v>
      </c>
    </row>
    <row r="21" spans="2:10" s="1" customFormat="1" ht="12.75">
      <c r="B21" s="1178">
        <v>3</v>
      </c>
      <c r="C21" s="515" t="s">
        <v>601</v>
      </c>
      <c r="D21" s="515">
        <f>SUM(D22:D29)</f>
        <v>330000</v>
      </c>
      <c r="E21" s="515">
        <f>SUM(E22:E29)</f>
        <v>3797350</v>
      </c>
      <c r="F21" s="515">
        <f>SUM(F22:F29)</f>
        <v>585000</v>
      </c>
      <c r="G21" s="515">
        <f>SUM(G22:G29)</f>
        <v>255000</v>
      </c>
      <c r="H21" s="515">
        <f>SUM(H22:H29)</f>
        <v>4967350</v>
      </c>
      <c r="J21" s="493"/>
    </row>
    <row r="22" spans="2:10" ht="25.5">
      <c r="B22" s="1178"/>
      <c r="C22" s="523" t="s">
        <v>602</v>
      </c>
      <c r="D22" s="521"/>
      <c r="E22" s="521">
        <f>3654000</f>
        <v>3654000</v>
      </c>
      <c r="F22" s="521"/>
      <c r="G22" s="521"/>
      <c r="H22" s="524">
        <f t="shared" ref="H22:H29" si="1">SUM(D22:G22)</f>
        <v>3654000</v>
      </c>
    </row>
    <row r="23" spans="2:10" ht="12.75">
      <c r="B23" s="1178"/>
      <c r="C23" s="522" t="s">
        <v>603</v>
      </c>
      <c r="D23" s="517"/>
      <c r="E23" s="517">
        <v>30000</v>
      </c>
      <c r="F23" s="517"/>
      <c r="G23" s="517"/>
      <c r="H23" s="71">
        <f t="shared" si="1"/>
        <v>30000</v>
      </c>
    </row>
    <row r="24" spans="2:10" ht="25.5">
      <c r="B24" s="1178"/>
      <c r="C24" s="522" t="s">
        <v>604</v>
      </c>
      <c r="D24" s="517"/>
      <c r="E24" s="517">
        <f>0.025*E22</f>
        <v>91350</v>
      </c>
      <c r="F24" s="517">
        <v>20000</v>
      </c>
      <c r="G24" s="517">
        <v>40000</v>
      </c>
      <c r="H24" s="71">
        <f t="shared" si="1"/>
        <v>151350</v>
      </c>
    </row>
    <row r="25" spans="2:10" ht="12.75">
      <c r="B25" s="1178"/>
      <c r="C25" s="522" t="s">
        <v>605</v>
      </c>
      <c r="D25" s="519">
        <v>300000</v>
      </c>
      <c r="E25" s="517"/>
      <c r="F25" s="517"/>
      <c r="G25" s="517"/>
      <c r="H25" s="71">
        <f t="shared" si="1"/>
        <v>300000</v>
      </c>
    </row>
    <row r="26" spans="2:10" ht="12.75">
      <c r="B26" s="1178"/>
      <c r="C26" s="522" t="s">
        <v>606</v>
      </c>
      <c r="D26" s="517"/>
      <c r="E26" s="517"/>
      <c r="F26" s="517">
        <f>450000*1.2</f>
        <v>540000</v>
      </c>
      <c r="G26" s="517"/>
      <c r="H26" s="71">
        <f t="shared" si="1"/>
        <v>540000</v>
      </c>
    </row>
    <row r="27" spans="2:10" ht="25.5">
      <c r="B27" s="1178"/>
      <c r="C27" s="516" t="s">
        <v>607</v>
      </c>
      <c r="D27" s="517"/>
      <c r="E27" s="517"/>
      <c r="F27" s="517" t="s">
        <v>98</v>
      </c>
      <c r="G27" s="517">
        <v>200000</v>
      </c>
      <c r="H27" s="71">
        <f t="shared" si="1"/>
        <v>200000</v>
      </c>
    </row>
    <row r="28" spans="2:10" ht="25.5">
      <c r="B28" s="1178"/>
      <c r="C28" s="516" t="s">
        <v>608</v>
      </c>
      <c r="D28" s="517">
        <v>30000</v>
      </c>
      <c r="E28" s="517"/>
      <c r="F28" s="517">
        <v>25000</v>
      </c>
      <c r="G28" s="517">
        <v>15000</v>
      </c>
      <c r="H28" s="71">
        <f t="shared" si="1"/>
        <v>70000</v>
      </c>
    </row>
    <row r="29" spans="2:10" ht="12.75">
      <c r="B29" s="1178"/>
      <c r="C29" s="516" t="s">
        <v>609</v>
      </c>
      <c r="D29" s="517"/>
      <c r="E29" s="517">
        <v>22000</v>
      </c>
      <c r="F29" s="517"/>
      <c r="G29" s="517"/>
      <c r="H29" s="71">
        <f t="shared" si="1"/>
        <v>22000</v>
      </c>
      <c r="J29" s="429"/>
    </row>
    <row r="30" spans="2:10" s="1" customFormat="1" ht="12.75">
      <c r="B30" s="1178">
        <v>4</v>
      </c>
      <c r="C30" s="515" t="s">
        <v>632</v>
      </c>
      <c r="D30" s="515">
        <f>SUM(D31:D40)</f>
        <v>323500</v>
      </c>
      <c r="E30" s="515">
        <f>SUM(E31:E40)</f>
        <v>396500</v>
      </c>
      <c r="F30" s="515">
        <f>SUM(F31:F40)</f>
        <v>274500</v>
      </c>
      <c r="G30" s="515">
        <f>SUM(G31:G40)</f>
        <v>605000</v>
      </c>
      <c r="H30" s="515">
        <f>SUM(H31:H40)</f>
        <v>1599500</v>
      </c>
    </row>
    <row r="31" spans="2:10" ht="12.75">
      <c r="B31" s="1178"/>
      <c r="C31" s="522" t="s">
        <v>611</v>
      </c>
      <c r="D31" s="517">
        <v>30000</v>
      </c>
      <c r="E31" s="517" t="s">
        <v>98</v>
      </c>
      <c r="F31" s="517" t="s">
        <v>98</v>
      </c>
      <c r="G31" s="517">
        <v>7000</v>
      </c>
      <c r="H31" s="71">
        <f>SUM(D31:G31)</f>
        <v>37000</v>
      </c>
    </row>
    <row r="32" spans="2:10" ht="38.25">
      <c r="B32" s="514"/>
      <c r="C32" s="520" t="s">
        <v>612</v>
      </c>
      <c r="D32" s="521">
        <v>150000</v>
      </c>
      <c r="E32" s="521"/>
      <c r="F32" s="521"/>
      <c r="G32" s="521">
        <v>15000</v>
      </c>
      <c r="H32" s="71">
        <f>SUM(D32:G32)</f>
        <v>165000</v>
      </c>
    </row>
    <row r="33" spans="2:8" ht="12.75">
      <c r="B33" s="514"/>
      <c r="C33" s="516" t="s">
        <v>613</v>
      </c>
      <c r="D33" s="517">
        <v>20000</v>
      </c>
      <c r="E33" s="517">
        <v>15000</v>
      </c>
      <c r="F33" s="517">
        <v>10000</v>
      </c>
      <c r="G33" s="517"/>
      <c r="H33" s="71">
        <f>SUM(D33:G33)</f>
        <v>45000</v>
      </c>
    </row>
    <row r="34" spans="2:8" ht="12.75">
      <c r="B34" s="514"/>
      <c r="C34" s="523" t="s">
        <v>614</v>
      </c>
      <c r="D34" s="521">
        <v>7000</v>
      </c>
      <c r="E34" s="517"/>
      <c r="F34" s="517">
        <v>3000</v>
      </c>
      <c r="G34" s="517"/>
      <c r="H34" s="71">
        <f>SUM(D34:G34)</f>
        <v>10000</v>
      </c>
    </row>
    <row r="35" spans="2:8" ht="25.5">
      <c r="B35" s="514"/>
      <c r="C35" s="525" t="s">
        <v>728</v>
      </c>
      <c r="D35" s="521"/>
      <c r="E35" s="521">
        <v>200000</v>
      </c>
      <c r="F35" s="521">
        <v>150000</v>
      </c>
      <c r="G35" s="521">
        <v>150000</v>
      </c>
      <c r="H35" s="524">
        <f>SUM(D35:G35)</f>
        <v>500000</v>
      </c>
    </row>
    <row r="36" spans="2:8" ht="25.5">
      <c r="B36" s="514"/>
      <c r="C36" s="523" t="s">
        <v>729</v>
      </c>
      <c r="D36" s="521"/>
      <c r="E36" s="521">
        <v>35000</v>
      </c>
      <c r="F36" s="521">
        <v>40000</v>
      </c>
      <c r="G36" s="521"/>
      <c r="H36" s="524">
        <v>75000</v>
      </c>
    </row>
    <row r="37" spans="2:8" ht="12.75">
      <c r="B37" s="514"/>
      <c r="C37" s="523" t="s">
        <v>615</v>
      </c>
      <c r="D37" s="521">
        <v>75000</v>
      </c>
      <c r="E37" s="521">
        <v>75000</v>
      </c>
      <c r="F37" s="521"/>
      <c r="G37" s="521"/>
      <c r="H37" s="524">
        <f>SUM(D37:G37)</f>
        <v>150000</v>
      </c>
    </row>
    <row r="38" spans="2:8" ht="12.75">
      <c r="B38" s="514"/>
      <c r="C38" s="523" t="s">
        <v>616</v>
      </c>
      <c r="D38" s="521"/>
      <c r="E38" s="521">
        <v>60000</v>
      </c>
      <c r="F38" s="521">
        <v>60000</v>
      </c>
      <c r="G38" s="521">
        <v>400000</v>
      </c>
      <c r="H38" s="524">
        <f>SUM(D38:G38)</f>
        <v>520000</v>
      </c>
    </row>
    <row r="39" spans="2:8" ht="25.5">
      <c r="B39" s="514"/>
      <c r="C39" s="523" t="s">
        <v>617</v>
      </c>
      <c r="D39" s="521">
        <v>3000</v>
      </c>
      <c r="E39" s="517">
        <v>1500</v>
      </c>
      <c r="F39" s="517">
        <v>1500</v>
      </c>
      <c r="G39" s="517">
        <v>3000</v>
      </c>
      <c r="H39" s="71">
        <f>SUM(D39:G39)</f>
        <v>9000</v>
      </c>
    </row>
    <row r="40" spans="2:8" ht="12.75">
      <c r="B40" s="514"/>
      <c r="C40" s="522" t="s">
        <v>618</v>
      </c>
      <c r="D40" s="517">
        <v>38500</v>
      </c>
      <c r="E40" s="517">
        <v>10000</v>
      </c>
      <c r="F40" s="517">
        <v>10000</v>
      </c>
      <c r="G40" s="517">
        <v>30000</v>
      </c>
      <c r="H40" s="71">
        <f>SUM(D40:G40)</f>
        <v>88500</v>
      </c>
    </row>
    <row r="41" spans="2:8" s="1" customFormat="1" ht="12.75">
      <c r="B41" s="1178">
        <v>5</v>
      </c>
      <c r="C41" s="515" t="s">
        <v>714</v>
      </c>
      <c r="D41" s="515">
        <f>SUM(D42:D44)</f>
        <v>160000</v>
      </c>
      <c r="E41" s="515">
        <f>SUM(E42:E44)</f>
        <v>0</v>
      </c>
      <c r="F41" s="515">
        <f>SUM(F42:F44)</f>
        <v>160000</v>
      </c>
      <c r="G41" s="515">
        <f>SUM(G42:G44)</f>
        <v>60000</v>
      </c>
      <c r="H41" s="515">
        <f>SUM(H42:H44)</f>
        <v>380000</v>
      </c>
    </row>
    <row r="42" spans="2:8" ht="12.75">
      <c r="B42" s="1178"/>
      <c r="C42" s="522" t="s">
        <v>730</v>
      </c>
      <c r="D42" s="517">
        <v>50000</v>
      </c>
      <c r="E42" s="517"/>
      <c r="F42" s="517">
        <v>50000</v>
      </c>
      <c r="G42" s="517"/>
      <c r="H42" s="71">
        <f>SUM(D42:G42)</f>
        <v>100000</v>
      </c>
    </row>
    <row r="43" spans="2:8" ht="12.75">
      <c r="B43" s="1178"/>
      <c r="C43" s="522" t="s">
        <v>619</v>
      </c>
      <c r="D43" s="517">
        <v>50000</v>
      </c>
      <c r="E43" s="517"/>
      <c r="F43" s="517">
        <v>50000</v>
      </c>
      <c r="G43" s="517"/>
      <c r="H43" s="71">
        <f>SUM(D43:G43)</f>
        <v>100000</v>
      </c>
    </row>
    <row r="44" spans="2:8" ht="12.75">
      <c r="B44" s="1178"/>
      <c r="C44" s="526" t="s">
        <v>620</v>
      </c>
      <c r="D44" s="517">
        <v>60000</v>
      </c>
      <c r="E44" s="517"/>
      <c r="F44" s="517">
        <v>60000</v>
      </c>
      <c r="G44" s="517">
        <v>60000</v>
      </c>
      <c r="H44" s="71">
        <f>SUM(D44:G44)</f>
        <v>180000</v>
      </c>
    </row>
    <row r="45" spans="2:8" ht="12.75">
      <c r="B45" s="1178">
        <v>6</v>
      </c>
      <c r="C45" s="515" t="s">
        <v>621</v>
      </c>
      <c r="D45" s="71">
        <f>SUM(D46:D52)</f>
        <v>30000</v>
      </c>
      <c r="E45" s="71">
        <f>SUM(E46:E52)</f>
        <v>170000</v>
      </c>
      <c r="F45" s="71">
        <f>SUM(F46:F52)</f>
        <v>50500</v>
      </c>
      <c r="G45" s="71">
        <f>SUM(G46:G52)</f>
        <v>321000</v>
      </c>
      <c r="H45" s="71">
        <f>SUM(H46:H52)</f>
        <v>571500</v>
      </c>
    </row>
    <row r="46" spans="2:8" s="430" customFormat="1" ht="38.25">
      <c r="B46" s="1178"/>
      <c r="C46" s="527" t="s">
        <v>622</v>
      </c>
      <c r="D46" s="521">
        <v>30000</v>
      </c>
      <c r="E46" s="521">
        <v>10000</v>
      </c>
      <c r="F46" s="521">
        <v>10000</v>
      </c>
      <c r="G46" s="521"/>
      <c r="H46" s="71">
        <f t="shared" ref="H46:H52" si="2">SUM(D46:G46)</f>
        <v>50000</v>
      </c>
    </row>
    <row r="47" spans="2:8" s="430" customFormat="1" ht="12.75">
      <c r="B47" s="1178"/>
      <c r="C47" s="527" t="s">
        <v>623</v>
      </c>
      <c r="D47" s="521"/>
      <c r="E47" s="521">
        <v>10000</v>
      </c>
      <c r="F47" s="521">
        <v>500</v>
      </c>
      <c r="G47" s="521">
        <v>1000</v>
      </c>
      <c r="H47" s="71">
        <f t="shared" si="2"/>
        <v>11500</v>
      </c>
    </row>
    <row r="48" spans="2:8" s="430" customFormat="1" ht="12.75">
      <c r="B48" s="1178"/>
      <c r="C48" s="527" t="s">
        <v>624</v>
      </c>
      <c r="D48" s="521"/>
      <c r="E48" s="521">
        <v>150000</v>
      </c>
      <c r="F48" s="521"/>
      <c r="G48" s="521"/>
      <c r="H48" s="71">
        <f t="shared" si="2"/>
        <v>150000</v>
      </c>
    </row>
    <row r="49" spans="2:8" s="430" customFormat="1" ht="12.75">
      <c r="B49" s="1178"/>
      <c r="C49" s="527" t="s">
        <v>625</v>
      </c>
      <c r="D49" s="521"/>
      <c r="E49" s="521"/>
      <c r="F49" s="521"/>
      <c r="G49" s="521">
        <v>150000</v>
      </c>
      <c r="H49" s="71">
        <f t="shared" si="2"/>
        <v>150000</v>
      </c>
    </row>
    <row r="50" spans="2:8" s="430" customFormat="1" ht="25.5">
      <c r="B50" s="1178"/>
      <c r="C50" s="528" t="s">
        <v>626</v>
      </c>
      <c r="D50" s="521"/>
      <c r="E50" s="521"/>
      <c r="F50" s="521">
        <v>40000</v>
      </c>
      <c r="G50" s="521"/>
      <c r="H50" s="71">
        <f t="shared" si="2"/>
        <v>40000</v>
      </c>
    </row>
    <row r="51" spans="2:8" s="430" customFormat="1" ht="12.75">
      <c r="B51" s="1178"/>
      <c r="C51" s="527" t="s">
        <v>627</v>
      </c>
      <c r="D51" s="521"/>
      <c r="E51" s="521"/>
      <c r="F51" s="521"/>
      <c r="G51" s="521">
        <v>150000</v>
      </c>
      <c r="H51" s="71">
        <f t="shared" si="2"/>
        <v>150000</v>
      </c>
    </row>
    <row r="52" spans="2:8" s="430" customFormat="1" ht="12.75">
      <c r="B52" s="1178"/>
      <c r="C52" s="527" t="s">
        <v>628</v>
      </c>
      <c r="D52" s="521"/>
      <c r="E52" s="521"/>
      <c r="F52" s="521"/>
      <c r="G52" s="521">
        <v>20000</v>
      </c>
      <c r="H52" s="71">
        <f t="shared" si="2"/>
        <v>20000</v>
      </c>
    </row>
    <row r="53" spans="2:8" s="1" customFormat="1" ht="12.75">
      <c r="B53" s="1178">
        <v>7</v>
      </c>
      <c r="C53" s="515" t="s">
        <v>629</v>
      </c>
      <c r="D53" s="515">
        <f>SUM(D54)</f>
        <v>0</v>
      </c>
      <c r="E53" s="515">
        <f>SUM(E54)</f>
        <v>0</v>
      </c>
      <c r="F53" s="515">
        <f>SUM(F54)</f>
        <v>25000</v>
      </c>
      <c r="G53" s="515">
        <f>SUM(G54)</f>
        <v>0</v>
      </c>
      <c r="H53" s="515">
        <f>SUM(H54)</f>
        <v>25000</v>
      </c>
    </row>
    <row r="54" spans="2:8" ht="12.75">
      <c r="B54" s="1178"/>
      <c r="C54" s="522" t="s">
        <v>630</v>
      </c>
      <c r="D54" s="517"/>
      <c r="E54" s="517"/>
      <c r="F54" s="517">
        <v>25000</v>
      </c>
      <c r="G54" s="517"/>
      <c r="H54" s="71">
        <f>SUM(D54:G54)</f>
        <v>25000</v>
      </c>
    </row>
    <row r="55" spans="2:8" ht="12.75">
      <c r="B55" s="529" t="s">
        <v>16</v>
      </c>
      <c r="C55" s="530" t="s">
        <v>85</v>
      </c>
      <c r="D55" s="531">
        <f>+D7+D16+D21+D30+D41+D45+D53</f>
        <v>972000</v>
      </c>
      <c r="E55" s="531">
        <f>+E7+E16+E21+E30+E41+E45+E53</f>
        <v>4428350</v>
      </c>
      <c r="F55" s="531">
        <f>+F7+F16+F21+F30+F41+F45+F53</f>
        <v>1171500</v>
      </c>
      <c r="G55" s="531">
        <f>+G7+G16+G21+G30+G41+G45+G53</f>
        <v>1375500</v>
      </c>
      <c r="H55" s="531">
        <f>+H7+H16+H21+H30+H41+H45+H53</f>
        <v>7947350</v>
      </c>
    </row>
    <row r="56" spans="2:8" ht="12.75">
      <c r="D56" s="431"/>
      <c r="E56" s="431"/>
      <c r="F56" s="431"/>
      <c r="G56" s="431"/>
      <c r="H56" s="428"/>
    </row>
    <row r="57" spans="2:8" ht="12.75">
      <c r="D57" s="431"/>
      <c r="E57" s="431"/>
      <c r="F57" s="431"/>
      <c r="G57" s="431"/>
      <c r="H57" s="428"/>
    </row>
    <row r="58" spans="2:8" ht="12.75">
      <c r="D58" s="509"/>
      <c r="E58" s="509"/>
      <c r="F58" s="509"/>
      <c r="G58" s="509"/>
      <c r="H58" s="510"/>
    </row>
    <row r="59" spans="2:8" ht="12.75">
      <c r="D59" s="511"/>
      <c r="E59" s="511"/>
      <c r="F59" s="511"/>
      <c r="G59" s="511"/>
      <c r="H59" s="512"/>
    </row>
    <row r="60" spans="2:8" ht="12.75">
      <c r="C60" s="425"/>
      <c r="H60" s="425"/>
    </row>
    <row r="61" spans="2:8" ht="12.75">
      <c r="C61" s="425"/>
      <c r="H61" s="425"/>
    </row>
    <row r="62" spans="2:8" ht="15.75" customHeight="1">
      <c r="C62" s="425"/>
      <c r="H62" s="425"/>
    </row>
    <row r="63" spans="2:8" ht="12.75">
      <c r="C63" s="425"/>
      <c r="H63" s="425"/>
    </row>
    <row r="64" spans="2:8" ht="12.75">
      <c r="C64" s="425"/>
      <c r="H64" s="425"/>
    </row>
    <row r="65" spans="3:8" ht="12.75">
      <c r="C65" s="425"/>
      <c r="H65" s="425"/>
    </row>
    <row r="66" spans="3:8" ht="12.75">
      <c r="C66" s="425"/>
      <c r="H66" s="425"/>
    </row>
    <row r="67" spans="3:8" ht="12.75">
      <c r="C67" s="425"/>
      <c r="H67" s="425"/>
    </row>
    <row r="68" spans="3:8" ht="12.75">
      <c r="C68" s="425"/>
      <c r="H68" s="425"/>
    </row>
    <row r="69" spans="3:8" ht="12.75">
      <c r="C69" s="425"/>
      <c r="H69" s="425"/>
    </row>
    <row r="70" spans="3:8" ht="12.75">
      <c r="C70" s="425"/>
      <c r="H70" s="425"/>
    </row>
    <row r="71" spans="3:8" ht="12.75">
      <c r="C71" s="425"/>
      <c r="H71" s="425"/>
    </row>
    <row r="72" spans="3:8" ht="12.75">
      <c r="C72" s="425"/>
      <c r="H72" s="425"/>
    </row>
    <row r="73" spans="3:8" ht="12.75">
      <c r="C73" s="425"/>
      <c r="H73" s="425"/>
    </row>
    <row r="74" spans="3:8" ht="12.75">
      <c r="C74" s="425"/>
      <c r="H74" s="425"/>
    </row>
  </sheetData>
  <sheetProtection password="CC27" sheet="1" formatCells="0" formatColumns="0" formatRows="0" insertColumns="0" insertRows="0" insertHyperlinks="0" deleteColumns="0" deleteRows="0" sort="0" autoFilter="0" pivotTables="0"/>
  <mergeCells count="10">
    <mergeCell ref="B45:B52"/>
    <mergeCell ref="B30:B31"/>
    <mergeCell ref="B53:B54"/>
    <mergeCell ref="B3:H3"/>
    <mergeCell ref="B4:H4"/>
    <mergeCell ref="B5:H5"/>
    <mergeCell ref="B41:B44"/>
    <mergeCell ref="B7:B15"/>
    <mergeCell ref="B16:B20"/>
    <mergeCell ref="B21:B29"/>
  </mergeCells>
  <phoneticPr fontId="0" type="noConversion"/>
  <printOptions horizontalCentered="1" verticalCentered="1"/>
  <pageMargins left="0.39370078740157483" right="0.39370078740157483" top="0.6692913385826772" bottom="0.62992125984251968" header="0" footer="0.31496062992125984"/>
  <pageSetup paperSize="5" scale="85" orientation="portrait" r:id="rId1"/>
  <headerFooter alignWithMargins="0">
    <oddHeader>&amp;RINVERSIONES CND SOLICITADAS</oddHeader>
    <oddFooter>&amp;C IMP ETESA&amp;R&amp;8&amp;P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3:I72"/>
  <sheetViews>
    <sheetView topLeftCell="A50" zoomScale="75" workbookViewId="0">
      <selection activeCell="G56" sqref="G56"/>
    </sheetView>
  </sheetViews>
  <sheetFormatPr baseColWidth="10" defaultRowHeight="15"/>
  <cols>
    <col min="1" max="1" width="5.140625" style="427" customWidth="1"/>
    <col min="2" max="2" width="49.85546875" style="424" customWidth="1"/>
    <col min="3" max="3" width="12.42578125" style="425" customWidth="1"/>
    <col min="4" max="4" width="15.140625" style="425" customWidth="1"/>
    <col min="5" max="5" width="12.42578125" style="425" customWidth="1"/>
    <col min="6" max="6" width="12.140625" style="425" customWidth="1"/>
    <col min="7" max="7" width="14.5703125" style="426" customWidth="1"/>
    <col min="8" max="8" width="10.28515625" customWidth="1"/>
  </cols>
  <sheetData>
    <row r="3" spans="1:9" ht="12.75">
      <c r="A3" s="1120" t="s">
        <v>732</v>
      </c>
      <c r="B3" s="1120"/>
      <c r="C3" s="1120"/>
      <c r="D3" s="1120"/>
      <c r="E3" s="1120"/>
      <c r="F3" s="1120"/>
      <c r="G3" s="1120"/>
    </row>
    <row r="4" spans="1:9" ht="15" customHeight="1">
      <c r="A4" s="1182" t="s">
        <v>583</v>
      </c>
      <c r="B4" s="1182"/>
      <c r="C4" s="1182"/>
      <c r="D4" s="1182"/>
      <c r="E4" s="1182"/>
      <c r="F4" s="1182"/>
      <c r="G4" s="1182"/>
      <c r="I4" s="1"/>
    </row>
    <row r="5" spans="1:9" ht="14.25" customHeight="1">
      <c r="A5" s="1183" t="s">
        <v>584</v>
      </c>
      <c r="B5" s="1183"/>
      <c r="C5" s="1183"/>
      <c r="D5" s="1183"/>
      <c r="E5" s="1183"/>
      <c r="F5" s="1183"/>
      <c r="G5" s="1183"/>
    </row>
    <row r="6" spans="1:9" ht="25.5">
      <c r="A6" s="513" t="s">
        <v>585</v>
      </c>
      <c r="B6" s="513" t="s">
        <v>586</v>
      </c>
      <c r="C6" s="70" t="s">
        <v>86</v>
      </c>
      <c r="D6" s="70" t="s">
        <v>300</v>
      </c>
      <c r="E6" s="70" t="s">
        <v>301</v>
      </c>
      <c r="F6" s="70" t="s">
        <v>302</v>
      </c>
      <c r="G6" s="70" t="s">
        <v>85</v>
      </c>
    </row>
    <row r="7" spans="1:9" s="1" customFormat="1" ht="18.75" customHeight="1">
      <c r="A7" s="1181">
        <v>1</v>
      </c>
      <c r="B7" s="537" t="s">
        <v>587</v>
      </c>
      <c r="C7" s="538"/>
      <c r="D7" s="538"/>
      <c r="E7" s="538"/>
      <c r="F7" s="538"/>
      <c r="G7" s="538">
        <f>SUM(G8:G15)</f>
        <v>0</v>
      </c>
    </row>
    <row r="8" spans="1:9" ht="12.75">
      <c r="A8" s="1181"/>
      <c r="B8" s="534" t="s">
        <v>588</v>
      </c>
      <c r="C8" s="539">
        <f>+'CND SOLICITADO'!D8*'CND AJUSTADO'!I8</f>
        <v>0</v>
      </c>
      <c r="D8" s="539"/>
      <c r="E8" s="539"/>
      <c r="F8" s="539"/>
      <c r="G8" s="540">
        <f t="shared" ref="G8:G15" si="0">SUM(C8:F8)</f>
        <v>0</v>
      </c>
      <c r="I8" s="10"/>
    </row>
    <row r="9" spans="1:9" ht="12.75">
      <c r="A9" s="1181"/>
      <c r="B9" s="534" t="s">
        <v>589</v>
      </c>
      <c r="C9" s="539">
        <f>+'CND SOLICITADO'!D9*'CND AJUSTADO'!$I$9</f>
        <v>0</v>
      </c>
      <c r="D9" s="539">
        <f>+'CND SOLICITADO'!E9*'CND AJUSTADO'!$I$9</f>
        <v>0</v>
      </c>
      <c r="E9" s="539"/>
      <c r="F9" s="539">
        <f>+'CND SOLICITADO'!G9*'CND AJUSTADO'!$I$9</f>
        <v>0</v>
      </c>
      <c r="G9" s="540">
        <f t="shared" si="0"/>
        <v>0</v>
      </c>
      <c r="I9" s="10"/>
    </row>
    <row r="10" spans="1:9" ht="12.75">
      <c r="A10" s="1181"/>
      <c r="B10" s="534" t="s">
        <v>590</v>
      </c>
      <c r="C10" s="539">
        <f>+'CND SOLICITADO'!D10*'CND AJUSTADO'!$I$10</f>
        <v>0</v>
      </c>
      <c r="D10" s="539">
        <f>+'CND SOLICITADO'!E10*'CND AJUSTADO'!$I$10</f>
        <v>0</v>
      </c>
      <c r="E10" s="539">
        <f>+'CND SOLICITADO'!F10*'CND AJUSTADO'!$I$10</f>
        <v>0</v>
      </c>
      <c r="F10" s="539">
        <f>+'CND SOLICITADO'!G10*'CND AJUSTADO'!$I$10</f>
        <v>0</v>
      </c>
      <c r="G10" s="540">
        <f t="shared" si="0"/>
        <v>0</v>
      </c>
      <c r="I10" s="10"/>
    </row>
    <row r="11" spans="1:9" ht="25.5">
      <c r="A11" s="1181"/>
      <c r="B11" s="534" t="s">
        <v>591</v>
      </c>
      <c r="C11" s="539">
        <f>+'CND SOLICITADO'!D11*'CND AJUSTADO'!$I$11</f>
        <v>0</v>
      </c>
      <c r="D11" s="539"/>
      <c r="E11" s="539">
        <f>+'CND SOLICITADO'!F11*'CND AJUSTADO'!$I$11</f>
        <v>0</v>
      </c>
      <c r="F11" s="539"/>
      <c r="G11" s="540">
        <f t="shared" si="0"/>
        <v>0</v>
      </c>
      <c r="I11" s="10"/>
    </row>
    <row r="12" spans="1:9" ht="12.75">
      <c r="A12" s="1181"/>
      <c r="B12" s="534" t="s">
        <v>592</v>
      </c>
      <c r="C12" s="539">
        <f>+'CND SOLICITADO'!D12*'CND AJUSTADO'!$I$12</f>
        <v>0</v>
      </c>
      <c r="D12" s="539"/>
      <c r="E12" s="539">
        <f>+'CND SOLICITADO'!F12*'CND AJUSTADO'!$I$12</f>
        <v>0</v>
      </c>
      <c r="F12" s="539"/>
      <c r="G12" s="540">
        <f t="shared" si="0"/>
        <v>0</v>
      </c>
      <c r="I12" s="10"/>
    </row>
    <row r="13" spans="1:9" ht="12.75">
      <c r="A13" s="1181"/>
      <c r="B13" s="534" t="s">
        <v>593</v>
      </c>
      <c r="C13" s="539"/>
      <c r="D13" s="539">
        <f>+'CND SOLICITADO'!E13*'CND AJUSTADO'!$I$8</f>
        <v>0</v>
      </c>
      <c r="E13" s="539"/>
      <c r="F13" s="539">
        <f>+'CND SOLICITADO'!G13*'CND AJUSTADO'!$I$8</f>
        <v>0</v>
      </c>
      <c r="G13" s="540">
        <f t="shared" si="0"/>
        <v>0</v>
      </c>
      <c r="I13" s="10"/>
    </row>
    <row r="14" spans="1:9" ht="12.75">
      <c r="A14" s="1181"/>
      <c r="B14" s="534" t="s">
        <v>594</v>
      </c>
      <c r="C14" s="539"/>
      <c r="D14" s="539">
        <f>+'CND SOLICITADO'!E14*'CND AJUSTADO'!$I$8</f>
        <v>0</v>
      </c>
      <c r="E14" s="539"/>
      <c r="F14" s="539" t="s">
        <v>98</v>
      </c>
      <c r="G14" s="540">
        <f t="shared" si="0"/>
        <v>0</v>
      </c>
      <c r="I14" s="10"/>
    </row>
    <row r="15" spans="1:9" ht="12.75">
      <c r="A15" s="1181"/>
      <c r="B15" s="534" t="s">
        <v>595</v>
      </c>
      <c r="C15" s="539"/>
      <c r="D15" s="539">
        <f>+'CND SOLICITADO'!E15*'CND AJUSTADO'!$I$8</f>
        <v>0</v>
      </c>
      <c r="E15" s="539"/>
      <c r="F15" s="539"/>
      <c r="G15" s="540">
        <f t="shared" si="0"/>
        <v>0</v>
      </c>
      <c r="I15" s="10"/>
    </row>
    <row r="16" spans="1:9" s="1" customFormat="1" ht="15" customHeight="1">
      <c r="A16" s="1181">
        <v>2</v>
      </c>
      <c r="B16" s="537" t="s">
        <v>596</v>
      </c>
      <c r="C16" s="538"/>
      <c r="D16" s="538"/>
      <c r="E16" s="538"/>
      <c r="F16" s="538"/>
      <c r="G16" s="538">
        <f>SUM(G17:G20)</f>
        <v>0</v>
      </c>
      <c r="I16" s="67"/>
    </row>
    <row r="17" spans="1:9" ht="12.75">
      <c r="A17" s="1181"/>
      <c r="B17" s="534" t="s">
        <v>597</v>
      </c>
      <c r="C17" s="539">
        <f>+'CND SOLICITADO'!D17*'CND AJUSTADO'!$I$17</f>
        <v>0</v>
      </c>
      <c r="D17" s="539"/>
      <c r="E17" s="539"/>
      <c r="F17" s="539">
        <f>+'CND SOLICITADO'!G17*'CND AJUSTADO'!$I$17</f>
        <v>0</v>
      </c>
      <c r="G17" s="540">
        <f>SUM(C17:F17)</f>
        <v>0</v>
      </c>
      <c r="H17" s="428"/>
      <c r="I17" s="10"/>
    </row>
    <row r="18" spans="1:9" ht="25.5">
      <c r="A18" s="1181"/>
      <c r="B18" s="535" t="s">
        <v>598</v>
      </c>
      <c r="C18" s="539">
        <f>+'CND SOLICITADO'!D18*'CND AJUSTADO'!$I$18</f>
        <v>0</v>
      </c>
      <c r="D18" s="539"/>
      <c r="E18" s="539"/>
      <c r="F18" s="539">
        <f>+'CND SOLICITADO'!G18*'CND AJUSTADO'!$I$18</f>
        <v>0</v>
      </c>
      <c r="G18" s="540">
        <f>SUM(C18:F18)</f>
        <v>0</v>
      </c>
      <c r="H18" s="428"/>
      <c r="I18" s="10"/>
    </row>
    <row r="19" spans="1:9" ht="25.5">
      <c r="A19" s="1181"/>
      <c r="B19" s="535" t="s">
        <v>599</v>
      </c>
      <c r="C19" s="539">
        <f>+'CND SOLICITADO'!D19*'CND AJUSTADO'!$I$19</f>
        <v>0</v>
      </c>
      <c r="D19" s="539">
        <f>+'CND SOLICITADO'!E19*'CND AJUSTADO'!$I$19</f>
        <v>0</v>
      </c>
      <c r="E19" s="539">
        <f>+'CND SOLICITADO'!F19*'CND AJUSTADO'!$I$19</f>
        <v>0</v>
      </c>
      <c r="F19" s="539">
        <f>+'CND SOLICITADO'!G19*'CND AJUSTADO'!$I$19</f>
        <v>0</v>
      </c>
      <c r="G19" s="540">
        <f>SUM(C19:F19)</f>
        <v>0</v>
      </c>
      <c r="H19" s="428"/>
      <c r="I19" s="10"/>
    </row>
    <row r="20" spans="1:9" ht="12.75">
      <c r="A20" s="1181"/>
      <c r="B20" s="534" t="s">
        <v>600</v>
      </c>
      <c r="C20" s="539">
        <f>+'CND SOLICITADO'!D20*'CND AJUSTADO'!$I$20</f>
        <v>0</v>
      </c>
      <c r="D20" s="539"/>
      <c r="E20" s="539"/>
      <c r="F20" s="539"/>
      <c r="G20" s="540">
        <f>SUM(C20:F20)</f>
        <v>0</v>
      </c>
      <c r="H20" s="428"/>
      <c r="I20" s="10"/>
    </row>
    <row r="21" spans="1:9" ht="16.5" customHeight="1">
      <c r="A21" s="1178">
        <v>3</v>
      </c>
      <c r="B21" s="515" t="s">
        <v>601</v>
      </c>
      <c r="C21" s="541">
        <f>SUM(C22:C29)</f>
        <v>215000</v>
      </c>
      <c r="D21" s="541">
        <f>SUM(D22:D29)</f>
        <v>2922000</v>
      </c>
      <c r="E21" s="541">
        <f>SUM(E22:E29)</f>
        <v>450000</v>
      </c>
      <c r="F21" s="541">
        <f>SUM(F22:F29)</f>
        <v>190000</v>
      </c>
      <c r="G21" s="541">
        <f>SUM(G22:G29)</f>
        <v>3777000</v>
      </c>
      <c r="H21" s="434"/>
      <c r="I21" s="10"/>
    </row>
    <row r="22" spans="1:9" ht="25.5">
      <c r="A22" s="1178"/>
      <c r="B22" s="523" t="s">
        <v>602</v>
      </c>
      <c r="C22" s="542"/>
      <c r="D22" s="542">
        <v>2900000</v>
      </c>
      <c r="E22" s="542"/>
      <c r="F22" s="542"/>
      <c r="G22" s="543">
        <f t="shared" ref="G22:G29" si="1">SUM(C22:F22)</f>
        <v>2900000</v>
      </c>
      <c r="H22" s="428"/>
      <c r="I22" s="10"/>
    </row>
    <row r="23" spans="1:9" ht="12.75">
      <c r="A23" s="1178"/>
      <c r="B23" s="522" t="s">
        <v>603</v>
      </c>
      <c r="C23" s="542"/>
      <c r="D23" s="542">
        <f>+'CND SOLICITADO'!E23*'CND AJUSTADO'!I23</f>
        <v>0</v>
      </c>
      <c r="E23" s="542"/>
      <c r="F23" s="542"/>
      <c r="G23" s="544">
        <f t="shared" si="1"/>
        <v>0</v>
      </c>
      <c r="H23" s="428"/>
      <c r="I23" s="10"/>
    </row>
    <row r="24" spans="1:9" ht="25.5">
      <c r="A24" s="1178"/>
      <c r="B24" s="522" t="s">
        <v>604</v>
      </c>
      <c r="C24" s="542"/>
      <c r="D24" s="542">
        <f>0.025*D22*I24</f>
        <v>0</v>
      </c>
      <c r="E24" s="542">
        <f>20000*I24</f>
        <v>0</v>
      </c>
      <c r="F24" s="542">
        <f>40000*I24</f>
        <v>0</v>
      </c>
      <c r="G24" s="544">
        <f t="shared" si="1"/>
        <v>0</v>
      </c>
      <c r="H24" s="428"/>
      <c r="I24" s="10"/>
    </row>
    <row r="25" spans="1:9" ht="12.75">
      <c r="A25" s="1178"/>
      <c r="B25" s="522" t="s">
        <v>605</v>
      </c>
      <c r="C25" s="542">
        <v>215000</v>
      </c>
      <c r="D25" s="542"/>
      <c r="E25" s="542"/>
      <c r="F25" s="542"/>
      <c r="G25" s="544">
        <f t="shared" si="1"/>
        <v>215000</v>
      </c>
      <c r="H25" s="428"/>
      <c r="I25" s="10"/>
    </row>
    <row r="26" spans="1:9" ht="12.75">
      <c r="A26" s="1178"/>
      <c r="B26" s="522" t="s">
        <v>606</v>
      </c>
      <c r="C26" s="542"/>
      <c r="D26" s="542"/>
      <c r="E26" s="542">
        <v>450000</v>
      </c>
      <c r="F26" s="542"/>
      <c r="G26" s="544">
        <f t="shared" si="1"/>
        <v>450000</v>
      </c>
      <c r="H26" s="428"/>
      <c r="I26" s="10"/>
    </row>
    <row r="27" spans="1:9" ht="25.5">
      <c r="A27" s="1178"/>
      <c r="B27" s="516" t="s">
        <v>607</v>
      </c>
      <c r="C27" s="542"/>
      <c r="D27" s="542"/>
      <c r="E27" s="542" t="s">
        <v>98</v>
      </c>
      <c r="F27" s="542">
        <v>190000</v>
      </c>
      <c r="G27" s="544">
        <f t="shared" si="1"/>
        <v>190000</v>
      </c>
      <c r="H27" s="428"/>
      <c r="I27" s="10"/>
    </row>
    <row r="28" spans="1:9" ht="25.5">
      <c r="A28" s="1178"/>
      <c r="B28" s="516" t="s">
        <v>608</v>
      </c>
      <c r="C28" s="542">
        <v>0</v>
      </c>
      <c r="D28" s="542"/>
      <c r="E28" s="542"/>
      <c r="F28" s="542"/>
      <c r="G28" s="544">
        <f t="shared" si="1"/>
        <v>0</v>
      </c>
      <c r="H28" s="428"/>
      <c r="I28" s="10"/>
    </row>
    <row r="29" spans="1:9" ht="12.75">
      <c r="A29" s="1178"/>
      <c r="B29" s="516" t="s">
        <v>609</v>
      </c>
      <c r="C29" s="542"/>
      <c r="D29" s="542">
        <v>22000</v>
      </c>
      <c r="E29" s="542"/>
      <c r="F29" s="542"/>
      <c r="G29" s="544">
        <f t="shared" si="1"/>
        <v>22000</v>
      </c>
      <c r="H29" s="428"/>
      <c r="I29" s="10"/>
    </row>
    <row r="30" spans="1:9" ht="18.75" customHeight="1">
      <c r="A30" s="1178">
        <v>4</v>
      </c>
      <c r="B30" s="515" t="s">
        <v>632</v>
      </c>
      <c r="C30" s="541">
        <f>SUM(C31:C40)</f>
        <v>325000</v>
      </c>
      <c r="D30" s="541">
        <f>SUM(D31:D40)</f>
        <v>316500</v>
      </c>
      <c r="E30" s="541">
        <f>SUM(E31:E40)</f>
        <v>419500</v>
      </c>
      <c r="F30" s="541">
        <f>SUM(F31:F40)</f>
        <v>190000</v>
      </c>
      <c r="G30" s="541">
        <f>SUM(G31:G40)</f>
        <v>1251000</v>
      </c>
      <c r="H30" s="428"/>
      <c r="I30" s="10"/>
    </row>
    <row r="31" spans="1:9" ht="12.75">
      <c r="A31" s="1178"/>
      <c r="B31" s="522" t="s">
        <v>611</v>
      </c>
      <c r="C31" s="542">
        <v>30000</v>
      </c>
      <c r="D31" s="542" t="s">
        <v>98</v>
      </c>
      <c r="E31" s="542" t="s">
        <v>98</v>
      </c>
      <c r="F31" s="542">
        <v>7000</v>
      </c>
      <c r="G31" s="544">
        <f>SUM(C31:F31)</f>
        <v>37000</v>
      </c>
      <c r="H31" s="428"/>
      <c r="I31" s="10"/>
    </row>
    <row r="32" spans="1:9" ht="38.25">
      <c r="A32" s="514"/>
      <c r="B32" s="520" t="s">
        <v>612</v>
      </c>
      <c r="C32" s="545">
        <v>150000</v>
      </c>
      <c r="D32" s="545"/>
      <c r="E32" s="545"/>
      <c r="F32" s="545">
        <v>15000</v>
      </c>
      <c r="G32" s="544">
        <f>SUM(C32:F32)</f>
        <v>165000</v>
      </c>
      <c r="H32" s="428"/>
      <c r="I32" s="10"/>
    </row>
    <row r="33" spans="1:9" ht="12.75">
      <c r="A33" s="514"/>
      <c r="B33" s="516" t="s">
        <v>613</v>
      </c>
      <c r="C33" s="542">
        <v>20000</v>
      </c>
      <c r="D33" s="542">
        <v>15000</v>
      </c>
      <c r="E33" s="542">
        <v>10000</v>
      </c>
      <c r="F33" s="542"/>
      <c r="G33" s="544">
        <f>SUM(C33:F33)</f>
        <v>45000</v>
      </c>
      <c r="H33" s="428"/>
      <c r="I33" s="10"/>
    </row>
    <row r="34" spans="1:9" ht="12.75">
      <c r="A34" s="514"/>
      <c r="B34" s="523" t="s">
        <v>614</v>
      </c>
      <c r="C34" s="545">
        <v>7000</v>
      </c>
      <c r="D34" s="542"/>
      <c r="E34" s="542">
        <v>3000</v>
      </c>
      <c r="F34" s="542"/>
      <c r="G34" s="544">
        <f>SUM(C34:F34)</f>
        <v>10000</v>
      </c>
      <c r="H34" s="428"/>
      <c r="I34" s="10"/>
    </row>
    <row r="35" spans="1:9" ht="25.5">
      <c r="A35" s="514"/>
      <c r="B35" s="525" t="s">
        <v>728</v>
      </c>
      <c r="C35" s="545"/>
      <c r="D35" s="545">
        <v>150000</v>
      </c>
      <c r="E35" s="545">
        <v>150000</v>
      </c>
      <c r="F35" s="545">
        <v>150000</v>
      </c>
      <c r="G35" s="543">
        <f>SUM(C35:F35)</f>
        <v>450000</v>
      </c>
      <c r="H35" s="428"/>
      <c r="I35" s="10"/>
    </row>
    <row r="36" spans="1:9" ht="25.5">
      <c r="A36" s="514"/>
      <c r="B36" s="523" t="s">
        <v>729</v>
      </c>
      <c r="C36" s="545"/>
      <c r="D36" s="545">
        <v>35000</v>
      </c>
      <c r="E36" s="545">
        <v>40000</v>
      </c>
      <c r="F36" s="545"/>
      <c r="G36" s="543">
        <v>75000</v>
      </c>
      <c r="H36" s="428"/>
      <c r="I36" s="10"/>
    </row>
    <row r="37" spans="1:9" ht="12.75">
      <c r="A37" s="514"/>
      <c r="B37" s="523" t="s">
        <v>615</v>
      </c>
      <c r="C37" s="545">
        <v>50000</v>
      </c>
      <c r="D37" s="545">
        <v>50000</v>
      </c>
      <c r="E37" s="545"/>
      <c r="F37" s="545"/>
      <c r="G37" s="543">
        <f>SUM(C37:F37)</f>
        <v>100000</v>
      </c>
      <c r="H37" s="428"/>
      <c r="I37" s="10"/>
    </row>
    <row r="38" spans="1:9" ht="12.75">
      <c r="A38" s="514"/>
      <c r="B38" s="523" t="s">
        <v>616</v>
      </c>
      <c r="C38" s="545">
        <v>50000</v>
      </c>
      <c r="D38" s="545">
        <v>50000</v>
      </c>
      <c r="E38" s="545">
        <v>200000</v>
      </c>
      <c r="F38" s="545">
        <v>0</v>
      </c>
      <c r="G38" s="543">
        <f>SUM(C38:F38)</f>
        <v>300000</v>
      </c>
      <c r="H38" s="428"/>
      <c r="I38" s="10"/>
    </row>
    <row r="39" spans="1:9" ht="25.5">
      <c r="A39" s="514"/>
      <c r="B39" s="523" t="s">
        <v>617</v>
      </c>
      <c r="C39" s="545">
        <v>3000</v>
      </c>
      <c r="D39" s="542">
        <v>1500</v>
      </c>
      <c r="E39" s="542">
        <v>1500</v>
      </c>
      <c r="F39" s="542">
        <v>3000</v>
      </c>
      <c r="G39" s="544">
        <f>SUM(C39:F39)</f>
        <v>9000</v>
      </c>
      <c r="H39" s="428"/>
      <c r="I39" s="10"/>
    </row>
    <row r="40" spans="1:9" ht="12.75">
      <c r="A40" s="514"/>
      <c r="B40" s="522" t="s">
        <v>727</v>
      </c>
      <c r="C40" s="542">
        <v>15000</v>
      </c>
      <c r="D40" s="542">
        <v>15000</v>
      </c>
      <c r="E40" s="542">
        <v>15000</v>
      </c>
      <c r="F40" s="542">
        <v>15000</v>
      </c>
      <c r="G40" s="544">
        <f>SUM(C40:F40)</f>
        <v>60000</v>
      </c>
      <c r="H40" s="428"/>
      <c r="I40" s="10"/>
    </row>
    <row r="41" spans="1:9" ht="15.75" customHeight="1">
      <c r="A41" s="1178">
        <v>5</v>
      </c>
      <c r="B41" s="515" t="s">
        <v>633</v>
      </c>
      <c r="C41" s="541">
        <f>SUM(C42:C44)</f>
        <v>120000</v>
      </c>
      <c r="D41" s="541">
        <f>SUM(D42:D44)</f>
        <v>0</v>
      </c>
      <c r="E41" s="541">
        <f>SUM(E42:E44)</f>
        <v>30000</v>
      </c>
      <c r="F41" s="541">
        <f>SUM(F42:F44)</f>
        <v>0</v>
      </c>
      <c r="G41" s="541">
        <f>SUM(G42:G44)</f>
        <v>150000</v>
      </c>
      <c r="H41" s="428"/>
      <c r="I41" s="10"/>
    </row>
    <row r="42" spans="1:9" ht="12.75">
      <c r="A42" s="1178"/>
      <c r="B42" s="522" t="s">
        <v>730</v>
      </c>
      <c r="C42" s="542">
        <v>30000</v>
      </c>
      <c r="D42" s="542"/>
      <c r="E42" s="542">
        <v>30000</v>
      </c>
      <c r="F42" s="542"/>
      <c r="G42" s="544">
        <f>SUM(C42:F42)</f>
        <v>60000</v>
      </c>
      <c r="H42" s="428"/>
      <c r="I42" s="10"/>
    </row>
    <row r="43" spans="1:9" ht="12.75">
      <c r="A43" s="1178"/>
      <c r="B43" s="522" t="s">
        <v>619</v>
      </c>
      <c r="C43" s="542">
        <v>30000</v>
      </c>
      <c r="D43" s="542"/>
      <c r="E43" s="542"/>
      <c r="F43" s="542"/>
      <c r="G43" s="544">
        <f>SUM(C43:F43)</f>
        <v>30000</v>
      </c>
      <c r="H43" s="428"/>
      <c r="I43" s="10"/>
    </row>
    <row r="44" spans="1:9" ht="12.75">
      <c r="A44" s="1178"/>
      <c r="B44" s="526" t="s">
        <v>620</v>
      </c>
      <c r="C44" s="542">
        <v>60000</v>
      </c>
      <c r="D44" s="542"/>
      <c r="E44" s="542"/>
      <c r="F44" s="542"/>
      <c r="G44" s="544">
        <f>SUM(C44:F44)</f>
        <v>60000</v>
      </c>
      <c r="H44" s="428"/>
      <c r="I44" s="10"/>
    </row>
    <row r="45" spans="1:9" ht="15" customHeight="1">
      <c r="A45" s="1178">
        <v>6</v>
      </c>
      <c r="B45" s="515" t="s">
        <v>621</v>
      </c>
      <c r="C45" s="541">
        <f>SUM(C46:C52)</f>
        <v>30000</v>
      </c>
      <c r="D45" s="541">
        <f>SUM(D46:D52)</f>
        <v>10000</v>
      </c>
      <c r="E45" s="541">
        <f>SUM(E46:E52)</f>
        <v>10000</v>
      </c>
      <c r="F45" s="541">
        <f>SUM(F46:F52)</f>
        <v>110000</v>
      </c>
      <c r="G45" s="541">
        <f>SUM(G46:G52)</f>
        <v>160000</v>
      </c>
      <c r="H45" s="428"/>
      <c r="I45" s="10"/>
    </row>
    <row r="46" spans="1:9" s="430" customFormat="1" ht="29.25" customHeight="1">
      <c r="A46" s="1178"/>
      <c r="B46" s="527" t="s">
        <v>622</v>
      </c>
      <c r="C46" s="545">
        <v>30000</v>
      </c>
      <c r="D46" s="545">
        <v>10000</v>
      </c>
      <c r="E46" s="545">
        <v>10000</v>
      </c>
      <c r="F46" s="545"/>
      <c r="G46" s="544">
        <f t="shared" ref="G46:G52" si="2">SUM(C46:F46)</f>
        <v>50000</v>
      </c>
      <c r="H46" s="435"/>
      <c r="I46" s="10"/>
    </row>
    <row r="47" spans="1:9" s="430" customFormat="1" ht="12.75">
      <c r="A47" s="1178"/>
      <c r="B47" s="527" t="s">
        <v>623</v>
      </c>
      <c r="C47" s="545"/>
      <c r="D47" s="545">
        <v>0</v>
      </c>
      <c r="E47" s="545">
        <v>0</v>
      </c>
      <c r="F47" s="545">
        <v>0</v>
      </c>
      <c r="G47" s="544">
        <f t="shared" si="2"/>
        <v>0</v>
      </c>
      <c r="H47" s="435"/>
      <c r="I47" s="10"/>
    </row>
    <row r="48" spans="1:9" s="430" customFormat="1" ht="12.75">
      <c r="A48" s="1178"/>
      <c r="B48" s="527" t="s">
        <v>624</v>
      </c>
      <c r="C48" s="545"/>
      <c r="D48" s="545">
        <f>150000*I48</f>
        <v>0</v>
      </c>
      <c r="E48" s="545"/>
      <c r="F48" s="545"/>
      <c r="G48" s="544">
        <f t="shared" si="2"/>
        <v>0</v>
      </c>
      <c r="H48" s="435"/>
      <c r="I48" s="10"/>
    </row>
    <row r="49" spans="1:9" s="430" customFormat="1" ht="12.75">
      <c r="A49" s="1178"/>
      <c r="B49" s="527" t="s">
        <v>625</v>
      </c>
      <c r="C49" s="545"/>
      <c r="D49" s="545"/>
      <c r="E49" s="545"/>
      <c r="F49" s="545">
        <v>50000</v>
      </c>
      <c r="G49" s="544">
        <f t="shared" si="2"/>
        <v>50000</v>
      </c>
      <c r="H49" s="435"/>
      <c r="I49" s="10"/>
    </row>
    <row r="50" spans="1:9" s="430" customFormat="1" ht="25.5">
      <c r="A50" s="1178"/>
      <c r="B50" s="528" t="s">
        <v>626</v>
      </c>
      <c r="C50" s="545"/>
      <c r="D50" s="545"/>
      <c r="E50" s="545">
        <f>40000*I50</f>
        <v>0</v>
      </c>
      <c r="F50" s="545"/>
      <c r="G50" s="544">
        <f t="shared" si="2"/>
        <v>0</v>
      </c>
      <c r="H50" s="435"/>
      <c r="I50" s="10"/>
    </row>
    <row r="51" spans="1:9" s="430" customFormat="1" ht="12.75">
      <c r="A51" s="1178"/>
      <c r="B51" s="527" t="s">
        <v>627</v>
      </c>
      <c r="C51" s="545"/>
      <c r="D51" s="545"/>
      <c r="E51" s="545"/>
      <c r="F51" s="545">
        <v>40000</v>
      </c>
      <c r="G51" s="544">
        <f t="shared" si="2"/>
        <v>40000</v>
      </c>
      <c r="H51" s="435"/>
      <c r="I51" s="10"/>
    </row>
    <row r="52" spans="1:9" s="430" customFormat="1" ht="12.75">
      <c r="A52" s="1178"/>
      <c r="B52" s="527" t="s">
        <v>628</v>
      </c>
      <c r="C52" s="545"/>
      <c r="D52" s="545"/>
      <c r="E52" s="545"/>
      <c r="F52" s="545">
        <v>20000</v>
      </c>
      <c r="G52" s="544">
        <f t="shared" si="2"/>
        <v>20000</v>
      </c>
      <c r="H52" s="435"/>
      <c r="I52" s="10"/>
    </row>
    <row r="53" spans="1:9" ht="12.75">
      <c r="A53" s="1181">
        <v>7</v>
      </c>
      <c r="B53" s="533" t="s">
        <v>629</v>
      </c>
      <c r="C53" s="546"/>
      <c r="D53" s="546"/>
      <c r="E53" s="546"/>
      <c r="F53" s="546"/>
      <c r="G53" s="546">
        <f>SUM(G54)</f>
        <v>0</v>
      </c>
      <c r="H53" s="428"/>
      <c r="I53" s="10"/>
    </row>
    <row r="54" spans="1:9" ht="12.75">
      <c r="A54" s="1181"/>
      <c r="B54" s="535" t="s">
        <v>630</v>
      </c>
      <c r="C54" s="539"/>
      <c r="D54" s="539"/>
      <c r="E54" s="539"/>
      <c r="F54" s="539"/>
      <c r="G54" s="540">
        <f>SUM(C54:F54)</f>
        <v>0</v>
      </c>
      <c r="H54" s="428"/>
      <c r="I54" s="10"/>
    </row>
    <row r="55" spans="1:9" ht="12.75">
      <c r="A55" s="536"/>
      <c r="B55" s="530" t="s">
        <v>85</v>
      </c>
      <c r="C55" s="547">
        <f>+C21+C30+C41+C45</f>
        <v>690000</v>
      </c>
      <c r="D55" s="547">
        <f>+D21+D30+D41+D45</f>
        <v>3248500</v>
      </c>
      <c r="E55" s="547">
        <f>+E21+E30+E41+E45</f>
        <v>909500</v>
      </c>
      <c r="F55" s="547">
        <f>+F21+F30+F41+F45</f>
        <v>490000</v>
      </c>
      <c r="G55" s="547">
        <f>+G21+G30+G41+G45</f>
        <v>5338000</v>
      </c>
      <c r="H55" s="428"/>
    </row>
    <row r="56" spans="1:9" ht="12.75">
      <c r="G56" s="436"/>
      <c r="H56" s="428"/>
    </row>
    <row r="57" spans="1:9" ht="12.75">
      <c r="B57" s="425"/>
      <c r="F57" s="492"/>
      <c r="G57" s="492"/>
      <c r="H57" s="425"/>
      <c r="I57" s="425"/>
    </row>
    <row r="58" spans="1:9" ht="12.75">
      <c r="B58" s="425"/>
      <c r="F58" s="493"/>
      <c r="G58" s="494"/>
      <c r="H58" s="425"/>
      <c r="I58" s="425"/>
    </row>
    <row r="59" spans="1:9" ht="15.75" customHeight="1">
      <c r="B59" s="425"/>
      <c r="G59" s="425"/>
      <c r="H59" s="425"/>
      <c r="I59" s="425"/>
    </row>
    <row r="60" spans="1:9" ht="12.75">
      <c r="B60" s="425"/>
      <c r="G60" s="18"/>
      <c r="H60" s="425"/>
      <c r="I60" s="425"/>
    </row>
    <row r="61" spans="1:9" ht="12.75">
      <c r="B61" s="425"/>
      <c r="F61" s="437"/>
      <c r="G61" s="18"/>
      <c r="H61" s="425"/>
      <c r="I61" s="425"/>
    </row>
    <row r="62" spans="1:9" ht="12.75">
      <c r="B62" s="425"/>
      <c r="F62" s="437"/>
      <c r="G62" s="18"/>
      <c r="H62" s="425"/>
      <c r="I62" s="425"/>
    </row>
    <row r="63" spans="1:9" ht="12.75">
      <c r="B63" s="425"/>
      <c r="F63" s="437"/>
      <c r="G63" s="18"/>
      <c r="H63" s="425"/>
      <c r="I63" s="425"/>
    </row>
    <row r="64" spans="1:9" ht="12.75">
      <c r="B64" s="425"/>
      <c r="F64" s="437"/>
      <c r="G64" s="18"/>
      <c r="H64" s="425"/>
      <c r="I64" s="425"/>
    </row>
    <row r="65" spans="2:9" ht="12.75">
      <c r="B65" s="425"/>
      <c r="F65" s="437"/>
      <c r="G65" s="18"/>
      <c r="H65" s="425"/>
      <c r="I65" s="425"/>
    </row>
    <row r="66" spans="2:9" ht="12.75">
      <c r="B66" s="425"/>
      <c r="F66" s="437"/>
      <c r="G66" s="18"/>
      <c r="H66" s="425"/>
      <c r="I66" s="425"/>
    </row>
    <row r="67" spans="2:9">
      <c r="B67" s="425"/>
      <c r="H67" s="425"/>
      <c r="I67" s="425"/>
    </row>
    <row r="68" spans="2:9">
      <c r="B68" s="425"/>
      <c r="H68" s="425"/>
      <c r="I68" s="425"/>
    </row>
    <row r="69" spans="2:9" ht="12.75">
      <c r="B69" s="425"/>
      <c r="G69" s="425"/>
      <c r="H69" s="425"/>
      <c r="I69" s="425"/>
    </row>
    <row r="70" spans="2:9" ht="12.75">
      <c r="B70" s="425"/>
      <c r="G70" s="425"/>
      <c r="H70" s="425"/>
      <c r="I70" s="425"/>
    </row>
    <row r="71" spans="2:9" ht="12.75">
      <c r="B71" s="425"/>
      <c r="G71" s="425"/>
      <c r="H71" s="425"/>
      <c r="I71" s="425"/>
    </row>
    <row r="72" spans="2:9" ht="12.75">
      <c r="G72" s="425"/>
    </row>
  </sheetData>
  <sheetProtection password="CC27" sheet="1" formatCells="0" formatColumns="0" formatRows="0" insertColumns="0" insertRows="0" insertHyperlinks="0" deleteColumns="0" deleteRows="0" sort="0" autoFilter="0" pivotTables="0"/>
  <mergeCells count="10">
    <mergeCell ref="A53:A54"/>
    <mergeCell ref="A3:G3"/>
    <mergeCell ref="A4:G4"/>
    <mergeCell ref="A5:G5"/>
    <mergeCell ref="A41:A44"/>
    <mergeCell ref="A7:A15"/>
    <mergeCell ref="A16:A20"/>
    <mergeCell ref="A21:A29"/>
    <mergeCell ref="A45:A52"/>
    <mergeCell ref="A30:A31"/>
  </mergeCells>
  <phoneticPr fontId="0" type="noConversion"/>
  <printOptions horizontalCentered="1" verticalCentered="1"/>
  <pageMargins left="0.59055118110236227" right="0.59055118110236227" top="0.6692913385826772" bottom="0.62992125984251968" header="0" footer="0.31496062992125984"/>
  <pageSetup paperSize="5" scale="75" orientation="portrait" r:id="rId1"/>
  <headerFooter alignWithMargins="0">
    <oddHeader>&amp;RINVERSIONES CND AJUSTADO</oddHeader>
    <oddFooter>&amp;C IMP ETESA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C2:K19"/>
  <sheetViews>
    <sheetView topLeftCell="B1" zoomScale="75" workbookViewId="0">
      <selection activeCell="I18" sqref="I18"/>
    </sheetView>
  </sheetViews>
  <sheetFormatPr baseColWidth="10" defaultRowHeight="15"/>
  <cols>
    <col min="3" max="3" width="5.140625" style="427" customWidth="1"/>
    <col min="4" max="4" width="33.28515625" style="424" customWidth="1"/>
    <col min="5" max="5" width="12.42578125" style="425" customWidth="1"/>
    <col min="6" max="6" width="12.7109375" style="425" customWidth="1"/>
    <col min="7" max="7" width="12.42578125" style="425" customWidth="1"/>
    <col min="8" max="8" width="14" style="425" customWidth="1"/>
    <col min="9" max="9" width="14.5703125" style="426" customWidth="1"/>
    <col min="10" max="10" width="10.28515625" customWidth="1"/>
  </cols>
  <sheetData>
    <row r="2" spans="3:11" ht="18">
      <c r="C2" s="423" t="s">
        <v>733</v>
      </c>
    </row>
    <row r="3" spans="3:11">
      <c r="I3" s="548"/>
      <c r="J3" s="4"/>
      <c r="K3" s="4"/>
    </row>
    <row r="4" spans="3:11" ht="12.75">
      <c r="C4" s="1120" t="s">
        <v>582</v>
      </c>
      <c r="D4" s="1120"/>
      <c r="E4" s="1120"/>
      <c r="F4" s="1120"/>
      <c r="G4" s="1120"/>
      <c r="H4" s="1120"/>
      <c r="I4" s="1120"/>
      <c r="J4" s="4"/>
      <c r="K4" s="4"/>
    </row>
    <row r="5" spans="3:11" ht="15" customHeight="1">
      <c r="C5" s="1182" t="s">
        <v>583</v>
      </c>
      <c r="D5" s="1182"/>
      <c r="E5" s="1182"/>
      <c r="F5" s="1182"/>
      <c r="G5" s="1182"/>
      <c r="H5" s="1182"/>
      <c r="I5" s="1182"/>
      <c r="J5" s="4"/>
      <c r="K5" s="4"/>
    </row>
    <row r="6" spans="3:11" ht="14.25" customHeight="1">
      <c r="C6" s="1183" t="s">
        <v>584</v>
      </c>
      <c r="D6" s="1183"/>
      <c r="E6" s="1183"/>
      <c r="F6" s="1183"/>
      <c r="G6" s="1183"/>
      <c r="H6" s="1183"/>
      <c r="I6" s="1183"/>
      <c r="J6" s="4"/>
      <c r="K6" s="4"/>
    </row>
    <row r="7" spans="3:11" ht="25.5">
      <c r="C7" s="513" t="s">
        <v>585</v>
      </c>
      <c r="D7" s="513" t="s">
        <v>586</v>
      </c>
      <c r="E7" s="70" t="s">
        <v>86</v>
      </c>
      <c r="F7" s="70" t="s">
        <v>300</v>
      </c>
      <c r="G7" s="70" t="s">
        <v>301</v>
      </c>
      <c r="H7" s="70" t="s">
        <v>302</v>
      </c>
      <c r="I7" s="70" t="s">
        <v>85</v>
      </c>
      <c r="J7" s="70" t="s">
        <v>631</v>
      </c>
      <c r="K7" s="4"/>
    </row>
    <row r="8" spans="3:11" ht="17.25" customHeight="1">
      <c r="C8" s="532">
        <v>1</v>
      </c>
      <c r="D8" s="516" t="s">
        <v>587</v>
      </c>
      <c r="E8" s="517"/>
      <c r="F8" s="517"/>
      <c r="G8" s="517"/>
      <c r="H8" s="517"/>
      <c r="I8" s="518">
        <f>+SUM(E8:H8)</f>
        <v>0</v>
      </c>
      <c r="J8" s="432">
        <f t="shared" ref="J8:J14" si="0">+I8/$I$15</f>
        <v>0</v>
      </c>
      <c r="K8" s="4"/>
    </row>
    <row r="9" spans="3:11" ht="17.25" customHeight="1">
      <c r="C9" s="532">
        <v>2</v>
      </c>
      <c r="D9" s="516" t="s">
        <v>596</v>
      </c>
      <c r="E9" s="517"/>
      <c r="F9" s="517"/>
      <c r="G9" s="517"/>
      <c r="H9" s="517"/>
      <c r="I9" s="518">
        <f t="shared" ref="I9:I14" si="1">+SUM(E9:H9)</f>
        <v>0</v>
      </c>
      <c r="J9" s="432">
        <f t="shared" si="0"/>
        <v>0</v>
      </c>
      <c r="K9" s="4"/>
    </row>
    <row r="10" spans="3:11" ht="17.25" customHeight="1">
      <c r="C10" s="532">
        <v>3</v>
      </c>
      <c r="D10" s="516" t="s">
        <v>601</v>
      </c>
      <c r="E10" s="517">
        <f>'CND AJUSTADO'!C21</f>
        <v>215000</v>
      </c>
      <c r="F10" s="517">
        <f>'CND AJUSTADO'!D21</f>
        <v>2922000</v>
      </c>
      <c r="G10" s="517">
        <f>'CND AJUSTADO'!E21</f>
        <v>450000</v>
      </c>
      <c r="H10" s="517">
        <f>'CND AJUSTADO'!F21</f>
        <v>190000</v>
      </c>
      <c r="I10" s="518">
        <f t="shared" si="1"/>
        <v>3777000</v>
      </c>
      <c r="J10" s="432">
        <f t="shared" si="0"/>
        <v>0.70756837766953917</v>
      </c>
      <c r="K10" s="4"/>
    </row>
    <row r="11" spans="3:11" ht="17.25" customHeight="1">
      <c r="C11" s="532">
        <v>4</v>
      </c>
      <c r="D11" s="516" t="s">
        <v>610</v>
      </c>
      <c r="E11" s="517">
        <f>'CND AJUSTADO'!C30</f>
        <v>325000</v>
      </c>
      <c r="F11" s="517">
        <f>'CND AJUSTADO'!D30</f>
        <v>316500</v>
      </c>
      <c r="G11" s="517">
        <f>'CND AJUSTADO'!E30</f>
        <v>419500</v>
      </c>
      <c r="H11" s="517">
        <f>'CND AJUSTADO'!F30</f>
        <v>190000</v>
      </c>
      <c r="I11" s="518">
        <f t="shared" si="1"/>
        <v>1251000</v>
      </c>
      <c r="J11" s="432">
        <f t="shared" si="0"/>
        <v>0.2343574372424129</v>
      </c>
      <c r="K11" s="4"/>
    </row>
    <row r="12" spans="3:11" ht="17.25" customHeight="1">
      <c r="C12" s="532">
        <v>5</v>
      </c>
      <c r="D12" s="516" t="s">
        <v>731</v>
      </c>
      <c r="E12" s="517">
        <f>'CND AJUSTADO'!C41</f>
        <v>120000</v>
      </c>
      <c r="F12" s="517">
        <f>'CND AJUSTADO'!D41</f>
        <v>0</v>
      </c>
      <c r="G12" s="517">
        <f>'CND AJUSTADO'!E41</f>
        <v>30000</v>
      </c>
      <c r="H12" s="517">
        <f>'CND AJUSTADO'!F41</f>
        <v>0</v>
      </c>
      <c r="I12" s="518">
        <f t="shared" si="1"/>
        <v>150000</v>
      </c>
      <c r="J12" s="432">
        <f t="shared" si="0"/>
        <v>2.8100412139378046E-2</v>
      </c>
      <c r="K12" s="4"/>
    </row>
    <row r="13" spans="3:11" ht="17.25" customHeight="1">
      <c r="C13" s="532">
        <v>6</v>
      </c>
      <c r="D13" s="516" t="s">
        <v>621</v>
      </c>
      <c r="E13" s="517">
        <f>'CND AJUSTADO'!C45</f>
        <v>30000</v>
      </c>
      <c r="F13" s="517">
        <f>'CND AJUSTADO'!D45</f>
        <v>10000</v>
      </c>
      <c r="G13" s="517">
        <f>'CND AJUSTADO'!E45</f>
        <v>10000</v>
      </c>
      <c r="H13" s="517">
        <f>'CND AJUSTADO'!F45</f>
        <v>110000</v>
      </c>
      <c r="I13" s="518">
        <f t="shared" si="1"/>
        <v>160000</v>
      </c>
      <c r="J13" s="432">
        <f t="shared" si="0"/>
        <v>2.9973772948669913E-2</v>
      </c>
      <c r="K13" s="4"/>
    </row>
    <row r="14" spans="3:11" ht="17.25" customHeight="1">
      <c r="C14" s="532">
        <v>7</v>
      </c>
      <c r="D14" s="516" t="s">
        <v>629</v>
      </c>
      <c r="E14" s="517">
        <f>'CND AJUSTADO'!C52</f>
        <v>0</v>
      </c>
      <c r="F14" s="517"/>
      <c r="G14" s="517"/>
      <c r="H14" s="517"/>
      <c r="I14" s="518">
        <f t="shared" si="1"/>
        <v>0</v>
      </c>
      <c r="J14" s="432">
        <f t="shared" si="0"/>
        <v>0</v>
      </c>
      <c r="K14" s="4"/>
    </row>
    <row r="15" spans="3:11" ht="17.25" customHeight="1">
      <c r="C15" s="532"/>
      <c r="D15" s="549" t="s">
        <v>16</v>
      </c>
      <c r="E15" s="550">
        <f t="shared" ref="E15:J15" si="2">+SUM(E8:E14)</f>
        <v>690000</v>
      </c>
      <c r="F15" s="550">
        <f t="shared" si="2"/>
        <v>3248500</v>
      </c>
      <c r="G15" s="550">
        <f t="shared" si="2"/>
        <v>909500</v>
      </c>
      <c r="H15" s="550">
        <f t="shared" si="2"/>
        <v>490000</v>
      </c>
      <c r="I15" s="550">
        <f t="shared" si="2"/>
        <v>5338000</v>
      </c>
      <c r="J15" s="433">
        <f t="shared" si="2"/>
        <v>1</v>
      </c>
      <c r="K15" s="4"/>
    </row>
    <row r="16" spans="3:11">
      <c r="I16" s="548"/>
      <c r="J16" s="4"/>
      <c r="K16" s="4"/>
    </row>
    <row r="17" spans="8:9" ht="12.75">
      <c r="H17" s="495"/>
      <c r="I17" s="494"/>
    </row>
    <row r="18" spans="8:9">
      <c r="I18" s="438"/>
    </row>
    <row r="19" spans="8:9">
      <c r="I19" s="439"/>
    </row>
  </sheetData>
  <sheetProtection password="CC27" sheet="1" formatCells="0" formatColumns="0" formatRows="0" insertColumns="0" insertRows="0" insertHyperlinks="0" deleteColumns="0" deleteRows="0" sort="0" autoFilter="0" pivotTables="0"/>
  <mergeCells count="3">
    <mergeCell ref="C4:I4"/>
    <mergeCell ref="C5:I5"/>
    <mergeCell ref="C6:I6"/>
  </mergeCells>
  <phoneticPr fontId="0" type="noConversion"/>
  <printOptions horizontalCentered="1" verticalCentered="1"/>
  <pageMargins left="0.78740157480314965" right="0.78740157480314965" top="0.68" bottom="0.82" header="0" footer="0.33"/>
  <pageSetup paperSize="9" scale="90" orientation="landscape" r:id="rId1"/>
  <headerFooter alignWithMargins="0">
    <oddFooter>&amp;R&amp;8IMP CND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2:O30"/>
  <sheetViews>
    <sheetView topLeftCell="H5" zoomScale="75" workbookViewId="0">
      <selection activeCell="O28" sqref="O28"/>
    </sheetView>
  </sheetViews>
  <sheetFormatPr baseColWidth="10" defaultRowHeight="12.75"/>
  <cols>
    <col min="1" max="1" width="40.85546875" customWidth="1"/>
    <col min="2" max="7" width="14.85546875" customWidth="1"/>
    <col min="8" max="8" width="8.7109375" customWidth="1"/>
    <col min="9" max="9" width="33" customWidth="1"/>
    <col min="10" max="10" width="12.7109375" customWidth="1"/>
    <col min="11" max="11" width="15" customWidth="1"/>
    <col min="12" max="12" width="12.5703125" customWidth="1"/>
  </cols>
  <sheetData>
    <row r="2" spans="1:12" s="40" customFormat="1" ht="20.25">
      <c r="A2" s="1186" t="s">
        <v>196</v>
      </c>
      <c r="B2" s="1186"/>
      <c r="C2" s="1186"/>
      <c r="D2" s="1186"/>
      <c r="E2" s="1186"/>
      <c r="F2" s="1186"/>
    </row>
    <row r="3" spans="1:12" s="40" customFormat="1" ht="20.25">
      <c r="A3" s="1187" t="s">
        <v>197</v>
      </c>
      <c r="B3" s="1187"/>
      <c r="C3" s="1187"/>
      <c r="D3" s="1187"/>
      <c r="E3" s="1187"/>
      <c r="F3" s="1187"/>
      <c r="I3" s="103" t="s">
        <v>285</v>
      </c>
    </row>
    <row r="4" spans="1:12" s="40" customFormat="1" ht="31.5" customHeight="1">
      <c r="A4" s="1188" t="s">
        <v>762</v>
      </c>
      <c r="B4" s="1188"/>
      <c r="C4" s="1188"/>
      <c r="D4" s="1188"/>
      <c r="E4" s="1188"/>
      <c r="F4" s="1188"/>
      <c r="G4" s="185"/>
      <c r="I4" s="103" t="s">
        <v>735</v>
      </c>
    </row>
    <row r="5" spans="1:12" ht="29.25" customHeight="1">
      <c r="A5" s="964" t="s">
        <v>198</v>
      </c>
      <c r="B5" s="964" t="s">
        <v>203</v>
      </c>
      <c r="C5" s="964" t="s">
        <v>289</v>
      </c>
      <c r="D5" s="964" t="s">
        <v>290</v>
      </c>
      <c r="E5" s="964" t="s">
        <v>291</v>
      </c>
      <c r="F5" s="964" t="s">
        <v>292</v>
      </c>
      <c r="G5" s="562" t="s">
        <v>16</v>
      </c>
      <c r="I5" s="553" t="s">
        <v>274</v>
      </c>
      <c r="J5" s="553" t="s">
        <v>275</v>
      </c>
      <c r="K5" s="553" t="s">
        <v>276</v>
      </c>
      <c r="L5" s="553" t="s">
        <v>277</v>
      </c>
    </row>
    <row r="6" spans="1:12">
      <c r="A6" s="965" t="s">
        <v>204</v>
      </c>
      <c r="B6" s="966">
        <f>+'HID2'!D122</f>
        <v>843000</v>
      </c>
      <c r="C6" s="966">
        <f>+'HID2'!F122</f>
        <v>861000</v>
      </c>
      <c r="D6" s="966">
        <f>+'HID2'!H122</f>
        <v>760000</v>
      </c>
      <c r="E6" s="966">
        <f>+'HID2'!J122</f>
        <v>642000</v>
      </c>
      <c r="F6" s="966">
        <f>+'HID2'!L122</f>
        <v>548500</v>
      </c>
      <c r="G6" s="64">
        <f>SUM(B6:F6)</f>
        <v>3654500</v>
      </c>
      <c r="I6" s="554" t="s">
        <v>278</v>
      </c>
      <c r="J6" s="555">
        <v>14923</v>
      </c>
      <c r="K6" s="555">
        <v>995</v>
      </c>
      <c r="L6" s="555">
        <f>+J6-K6</f>
        <v>13928</v>
      </c>
    </row>
    <row r="7" spans="1:12">
      <c r="A7" s="965" t="s">
        <v>205</v>
      </c>
      <c r="B7" s="966">
        <f>+'HID2'!G19</f>
        <v>1734000</v>
      </c>
      <c r="C7" s="966">
        <f>+'HID2'!G20</f>
        <v>1907400</v>
      </c>
      <c r="D7" s="966">
        <f>+'HID2'!G21</f>
        <v>2109700</v>
      </c>
      <c r="E7" s="966">
        <f>+'HID2'!G22</f>
        <v>2312000</v>
      </c>
      <c r="F7" s="966">
        <f>+'HID2'!G23</f>
        <v>2543200</v>
      </c>
      <c r="G7" s="64">
        <f>SUM(B7:F7)</f>
        <v>10606300</v>
      </c>
      <c r="I7" s="554" t="s">
        <v>279</v>
      </c>
      <c r="J7" s="555">
        <v>1240032</v>
      </c>
      <c r="K7" s="555">
        <v>764073</v>
      </c>
      <c r="L7" s="555">
        <f t="shared" ref="L7:L15" si="0">+J7-K7</f>
        <v>475959</v>
      </c>
    </row>
    <row r="8" spans="1:12">
      <c r="A8" s="965" t="s">
        <v>16</v>
      </c>
      <c r="B8" s="966">
        <f>SUM(B6:B7)</f>
        <v>2577000</v>
      </c>
      <c r="C8" s="966">
        <f>SUM(C6:C7)</f>
        <v>2768400</v>
      </c>
      <c r="D8" s="966">
        <f>SUM(D6:D7)</f>
        <v>2869700</v>
      </c>
      <c r="E8" s="966">
        <f>SUM(E6:E7)</f>
        <v>2954000</v>
      </c>
      <c r="F8" s="966">
        <f>SUM(F6:F7)</f>
        <v>3091700</v>
      </c>
      <c r="G8" s="64">
        <f>SUM(B8:F8)</f>
        <v>14260800</v>
      </c>
      <c r="I8" s="554" t="s">
        <v>286</v>
      </c>
      <c r="J8" s="555">
        <v>155342</v>
      </c>
      <c r="K8" s="555">
        <v>8876</v>
      </c>
      <c r="L8" s="555">
        <f t="shared" si="0"/>
        <v>146466</v>
      </c>
    </row>
    <row r="9" spans="1:12" ht="15.75">
      <c r="A9" s="967"/>
      <c r="B9" s="967"/>
      <c r="C9" s="968"/>
      <c r="D9" s="968"/>
      <c r="E9" s="968"/>
      <c r="F9" s="968"/>
      <c r="G9" s="554"/>
      <c r="I9" s="554" t="s">
        <v>287</v>
      </c>
      <c r="J9" s="555">
        <v>118818</v>
      </c>
      <c r="K9" s="555">
        <v>6789</v>
      </c>
      <c r="L9" s="555">
        <f t="shared" si="0"/>
        <v>112029</v>
      </c>
    </row>
    <row r="10" spans="1:12" ht="15.75">
      <c r="A10" s="967"/>
      <c r="B10" s="969"/>
      <c r="C10" s="969"/>
      <c r="D10" s="969"/>
      <c r="E10" s="969"/>
      <c r="F10" s="969"/>
      <c r="G10" s="554"/>
      <c r="I10" s="554" t="s">
        <v>288</v>
      </c>
      <c r="J10" s="555">
        <v>61694</v>
      </c>
      <c r="K10" s="555">
        <v>6170</v>
      </c>
      <c r="L10" s="555">
        <f t="shared" si="0"/>
        <v>55524</v>
      </c>
    </row>
    <row r="11" spans="1:12" ht="15.75">
      <c r="A11" s="967" t="s">
        <v>293</v>
      </c>
      <c r="B11" s="967"/>
      <c r="C11" s="967"/>
      <c r="D11" s="967"/>
      <c r="E11" s="967"/>
      <c r="F11" s="967"/>
      <c r="G11" s="554"/>
      <c r="I11" s="554" t="s">
        <v>284</v>
      </c>
      <c r="J11" s="555">
        <v>115060</v>
      </c>
      <c r="K11" s="555">
        <v>11506</v>
      </c>
      <c r="L11" s="555">
        <f t="shared" si="0"/>
        <v>103554</v>
      </c>
    </row>
    <row r="12" spans="1:12" ht="15.75">
      <c r="A12" s="970" t="s">
        <v>207</v>
      </c>
      <c r="B12" s="967">
        <v>60</v>
      </c>
      <c r="C12" s="967"/>
      <c r="D12" s="967"/>
      <c r="E12" s="967"/>
      <c r="F12" s="967"/>
      <c r="G12" s="554"/>
      <c r="I12" s="554" t="s">
        <v>280</v>
      </c>
      <c r="J12" s="555">
        <v>13712</v>
      </c>
      <c r="K12" s="555">
        <v>1244</v>
      </c>
      <c r="L12" s="555">
        <f t="shared" si="0"/>
        <v>12468</v>
      </c>
    </row>
    <row r="13" spans="1:12" ht="15.75">
      <c r="A13" s="970" t="s">
        <v>208</v>
      </c>
      <c r="B13" s="967"/>
      <c r="C13" s="969">
        <v>6</v>
      </c>
      <c r="D13" s="969">
        <v>7</v>
      </c>
      <c r="E13" s="969">
        <v>7</v>
      </c>
      <c r="F13" s="969">
        <v>8</v>
      </c>
      <c r="G13" s="567"/>
      <c r="I13" s="554" t="s">
        <v>281</v>
      </c>
      <c r="J13" s="555">
        <v>28936</v>
      </c>
      <c r="K13" s="555">
        <v>7234</v>
      </c>
      <c r="L13" s="555">
        <f t="shared" si="0"/>
        <v>21702</v>
      </c>
    </row>
    <row r="14" spans="1:12" ht="15.75">
      <c r="A14" s="967" t="s">
        <v>209</v>
      </c>
      <c r="B14" s="967">
        <f>+B12</f>
        <v>60</v>
      </c>
      <c r="C14" s="967">
        <f>+B14+C13</f>
        <v>66</v>
      </c>
      <c r="D14" s="967">
        <f>+C14+D13</f>
        <v>73</v>
      </c>
      <c r="E14" s="967">
        <f>+D14+E13</f>
        <v>80</v>
      </c>
      <c r="F14" s="967">
        <f>+E14+F13</f>
        <v>88</v>
      </c>
      <c r="G14" s="554"/>
      <c r="I14" s="554" t="s">
        <v>282</v>
      </c>
      <c r="J14" s="555">
        <v>252383</v>
      </c>
      <c r="K14" s="555">
        <v>14414</v>
      </c>
      <c r="L14" s="555">
        <f t="shared" si="0"/>
        <v>237969</v>
      </c>
    </row>
    <row r="15" spans="1:12">
      <c r="I15" s="2" t="s">
        <v>283</v>
      </c>
      <c r="J15" s="64">
        <f>+SUM(J6:J14)</f>
        <v>2000900</v>
      </c>
      <c r="K15" s="64">
        <f>+SUM(K6:K14)</f>
        <v>821301</v>
      </c>
      <c r="L15" s="64">
        <f t="shared" si="0"/>
        <v>1179599</v>
      </c>
    </row>
    <row r="18" spans="1:15" ht="20.25">
      <c r="A18" s="1189" t="s">
        <v>196</v>
      </c>
      <c r="B18" s="1189"/>
      <c r="C18" s="1189"/>
      <c r="D18" s="1189"/>
      <c r="E18" s="1189"/>
      <c r="F18" s="1189"/>
      <c r="G18" s="40"/>
    </row>
    <row r="19" spans="1:15" ht="20.25">
      <c r="A19" s="1184" t="s">
        <v>197</v>
      </c>
      <c r="B19" s="1184"/>
      <c r="C19" s="1184"/>
      <c r="D19" s="1184"/>
      <c r="E19" s="1184"/>
      <c r="F19" s="1184"/>
      <c r="G19" s="40"/>
    </row>
    <row r="20" spans="1:15" ht="20.25">
      <c r="A20" s="1185" t="s">
        <v>267</v>
      </c>
      <c r="B20" s="1185"/>
      <c r="C20" s="1185"/>
      <c r="D20" s="1185"/>
      <c r="E20" s="1185"/>
      <c r="F20" s="1185"/>
      <c r="G20" s="40"/>
      <c r="I20" s="2" t="s">
        <v>734</v>
      </c>
      <c r="J20" s="554"/>
      <c r="K20" s="554"/>
      <c r="L20" s="554"/>
      <c r="M20" s="554"/>
      <c r="N20" s="554"/>
      <c r="O20" s="554"/>
    </row>
    <row r="21" spans="1:15" ht="15.75">
      <c r="A21" s="561" t="s">
        <v>198</v>
      </c>
      <c r="B21" s="561" t="s">
        <v>199</v>
      </c>
      <c r="C21" s="561" t="s">
        <v>200</v>
      </c>
      <c r="D21" s="561" t="s">
        <v>201</v>
      </c>
      <c r="E21" s="561" t="s">
        <v>202</v>
      </c>
      <c r="F21" s="561" t="s">
        <v>203</v>
      </c>
      <c r="G21" s="562" t="s">
        <v>16</v>
      </c>
      <c r="I21" s="556" t="s">
        <v>294</v>
      </c>
      <c r="J21" s="557">
        <v>2009</v>
      </c>
      <c r="K21" s="557">
        <v>2010</v>
      </c>
      <c r="L21" s="557">
        <v>2011</v>
      </c>
      <c r="M21" s="557">
        <v>2012</v>
      </c>
      <c r="N21" s="557">
        <v>2013</v>
      </c>
      <c r="O21" s="557" t="s">
        <v>85</v>
      </c>
    </row>
    <row r="22" spans="1:15">
      <c r="A22" s="563" t="s">
        <v>204</v>
      </c>
      <c r="B22" s="568">
        <v>18000</v>
      </c>
      <c r="C22" s="569">
        <v>891000</v>
      </c>
      <c r="D22" s="569">
        <v>916000</v>
      </c>
      <c r="E22" s="569">
        <v>846000</v>
      </c>
      <c r="F22" s="570">
        <v>368000</v>
      </c>
      <c r="G22" s="64">
        <f>SUM(B22:F22)</f>
        <v>3039000</v>
      </c>
      <c r="I22" s="558" t="s">
        <v>295</v>
      </c>
      <c r="J22" s="543">
        <v>250000</v>
      </c>
      <c r="K22" s="543">
        <v>330000</v>
      </c>
      <c r="L22" s="543">
        <v>425000</v>
      </c>
      <c r="M22" s="543">
        <v>435000</v>
      </c>
      <c r="N22" s="543">
        <v>351000</v>
      </c>
      <c r="O22" s="543">
        <f>+SUM(J22:N22)</f>
        <v>1791000</v>
      </c>
    </row>
    <row r="23" spans="1:15">
      <c r="A23" s="563" t="s">
        <v>205</v>
      </c>
      <c r="B23" s="568">
        <v>1431246</v>
      </c>
      <c r="C23" s="569">
        <v>1802432.0909090908</v>
      </c>
      <c r="D23" s="569">
        <v>2143569.8392363638</v>
      </c>
      <c r="E23" s="569">
        <v>2532240.5161545454</v>
      </c>
      <c r="F23" s="570">
        <v>3013635.9684145455</v>
      </c>
      <c r="G23" s="64">
        <f>SUM(B23:F23)</f>
        <v>10923124.414714545</v>
      </c>
      <c r="I23" s="558" t="s">
        <v>296</v>
      </c>
      <c r="J23" s="543">
        <v>534000</v>
      </c>
      <c r="K23" s="543">
        <v>796000</v>
      </c>
      <c r="L23" s="543">
        <v>779000</v>
      </c>
      <c r="M23" s="543">
        <v>624000</v>
      </c>
      <c r="N23" s="543">
        <v>576500</v>
      </c>
      <c r="O23" s="543">
        <f>+SUM(J23:N23)</f>
        <v>3309500</v>
      </c>
    </row>
    <row r="24" spans="1:15">
      <c r="A24" s="563" t="s">
        <v>16</v>
      </c>
      <c r="B24" s="564">
        <f>SUM(B22:B23)</f>
        <v>1449246</v>
      </c>
      <c r="C24" s="564">
        <f>SUM(C22:C23)</f>
        <v>2693432.0909090908</v>
      </c>
      <c r="D24" s="564">
        <f>SUM(D22:D23)</f>
        <v>3059569.8392363638</v>
      </c>
      <c r="E24" s="564">
        <f>SUM(E22:E23)</f>
        <v>3378240.5161545454</v>
      </c>
      <c r="F24" s="564">
        <f>SUM(F22:F23)</f>
        <v>3381635.9684145455</v>
      </c>
      <c r="G24" s="64">
        <f>SUM(B24:F24)</f>
        <v>13962124.414714545</v>
      </c>
      <c r="I24" s="558" t="s">
        <v>297</v>
      </c>
      <c r="J24" s="543">
        <v>366500</v>
      </c>
      <c r="K24" s="543">
        <v>113000</v>
      </c>
      <c r="L24" s="543">
        <v>95000</v>
      </c>
      <c r="M24" s="543">
        <v>45000</v>
      </c>
      <c r="N24" s="543">
        <v>96000</v>
      </c>
      <c r="O24" s="543">
        <f>+SUM(J24:N24)</f>
        <v>715500</v>
      </c>
    </row>
    <row r="25" spans="1:15" ht="15.75">
      <c r="A25" s="41"/>
      <c r="B25" s="41"/>
      <c r="C25" s="565">
        <f>+C24/B24-1</f>
        <v>0.85850579605470068</v>
      </c>
      <c r="D25" s="565">
        <f>+D24/C24-1</f>
        <v>0.13593724882207581</v>
      </c>
      <c r="E25" s="565">
        <f>+E24/D24-1</f>
        <v>0.1041553857772759</v>
      </c>
      <c r="F25" s="565">
        <f>+F24/E24-1</f>
        <v>1.0050948840862883E-3</v>
      </c>
      <c r="G25" s="554"/>
      <c r="I25" s="558" t="s">
        <v>298</v>
      </c>
      <c r="J25" s="543"/>
      <c r="K25" s="543"/>
      <c r="L25" s="543"/>
      <c r="M25" s="543">
        <v>200000</v>
      </c>
      <c r="N25" s="543"/>
      <c r="O25" s="543">
        <f>+SUM(J25:N25)</f>
        <v>200000</v>
      </c>
    </row>
    <row r="26" spans="1:15" ht="15.75">
      <c r="A26" s="41"/>
      <c r="B26" s="42"/>
      <c r="C26" s="42"/>
      <c r="D26" s="42"/>
      <c r="E26" s="42"/>
      <c r="F26" s="42"/>
      <c r="G26" s="554"/>
      <c r="I26" s="558" t="s">
        <v>299</v>
      </c>
      <c r="J26" s="543">
        <v>30000</v>
      </c>
      <c r="K26" s="543"/>
      <c r="L26" s="543"/>
      <c r="M26" s="543"/>
      <c r="N26" s="543"/>
      <c r="O26" s="543">
        <f>+SUM(J26:N26)</f>
        <v>30000</v>
      </c>
    </row>
    <row r="27" spans="1:15" ht="15.75">
      <c r="A27" s="41" t="s">
        <v>206</v>
      </c>
      <c r="B27" s="41"/>
      <c r="C27" s="41"/>
      <c r="D27" s="41"/>
      <c r="E27" s="41"/>
      <c r="F27" s="41"/>
      <c r="G27" s="554"/>
      <c r="I27" s="559" t="s">
        <v>85</v>
      </c>
      <c r="J27" s="560">
        <f t="shared" ref="J27:O27" si="1">+SUM(J22:J26)</f>
        <v>1180500</v>
      </c>
      <c r="K27" s="560">
        <f t="shared" si="1"/>
        <v>1239000</v>
      </c>
      <c r="L27" s="560">
        <f t="shared" si="1"/>
        <v>1299000</v>
      </c>
      <c r="M27" s="560">
        <f t="shared" si="1"/>
        <v>1304000</v>
      </c>
      <c r="N27" s="560">
        <f t="shared" si="1"/>
        <v>1023500</v>
      </c>
      <c r="O27" s="560">
        <f t="shared" si="1"/>
        <v>6046000</v>
      </c>
    </row>
    <row r="28" spans="1:15" ht="15.75">
      <c r="A28" s="566" t="s">
        <v>207</v>
      </c>
      <c r="B28" s="41">
        <f>+B30-B29</f>
        <v>33</v>
      </c>
      <c r="C28" s="41"/>
      <c r="D28" s="41"/>
      <c r="E28" s="41"/>
      <c r="F28" s="41"/>
      <c r="G28" s="554"/>
    </row>
    <row r="29" spans="1:15" ht="15.75">
      <c r="A29" s="566" t="s">
        <v>208</v>
      </c>
      <c r="B29" s="41"/>
      <c r="C29" s="42">
        <v>12</v>
      </c>
      <c r="D29" s="42">
        <v>12</v>
      </c>
      <c r="E29" s="42">
        <v>23</v>
      </c>
      <c r="F29" s="42">
        <v>20</v>
      </c>
      <c r="G29" s="567"/>
    </row>
    <row r="30" spans="1:15" ht="15.75">
      <c r="A30" s="41" t="s">
        <v>209</v>
      </c>
      <c r="B30" s="41">
        <v>33</v>
      </c>
      <c r="C30" s="41">
        <v>45</v>
      </c>
      <c r="D30" s="41">
        <v>57</v>
      </c>
      <c r="E30" s="41">
        <v>80</v>
      </c>
      <c r="F30" s="41">
        <v>100</v>
      </c>
      <c r="G30" s="554"/>
    </row>
  </sheetData>
  <sheetProtection password="CC27" sheet="1" formatCells="0" formatColumns="0" formatRows="0" insertColumns="0" insertRows="0" insertHyperlinks="0" deleteColumns="0" deleteRows="0" sort="0" autoFilter="0" pivotTables="0"/>
  <mergeCells count="6">
    <mergeCell ref="A19:F19"/>
    <mergeCell ref="A20:F20"/>
    <mergeCell ref="A2:F2"/>
    <mergeCell ref="A3:F3"/>
    <mergeCell ref="A4:F4"/>
    <mergeCell ref="A18:F18"/>
  </mergeCells>
  <phoneticPr fontId="0" type="noConversion"/>
  <printOptions horizontalCentered="1" verticalCentered="1"/>
  <pageMargins left="0.75" right="0.75" top="1" bottom="0.46" header="0" footer="0.77"/>
  <pageSetup scale="90" orientation="landscape" horizontalDpi="300" verticalDpi="300" r:id="rId1"/>
  <headerFooter alignWithMargins="0">
    <oddFooter>&amp;CPRESUPUESTO HIDROMET&amp;R&amp;P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2:R132"/>
  <sheetViews>
    <sheetView topLeftCell="A33" zoomScale="75" workbookViewId="0">
      <selection activeCell="H44" sqref="H44"/>
    </sheetView>
  </sheetViews>
  <sheetFormatPr baseColWidth="10" defaultRowHeight="14.25"/>
  <cols>
    <col min="1" max="1" width="24.5703125" style="117" customWidth="1"/>
    <col min="2" max="2" width="27" style="117" customWidth="1"/>
    <col min="3" max="3" width="10.7109375" style="117" customWidth="1"/>
    <col min="4" max="4" width="13.5703125" style="117" customWidth="1"/>
    <col min="5" max="5" width="11" style="119" customWidth="1"/>
    <col min="6" max="6" width="12" style="117" customWidth="1"/>
    <col min="7" max="7" width="14.7109375" style="117" customWidth="1"/>
    <col min="8" max="8" width="12.7109375" style="117" customWidth="1"/>
    <col min="9" max="9" width="12.140625" style="117" customWidth="1"/>
    <col min="10" max="10" width="12.28515625" style="117" customWidth="1"/>
    <col min="11" max="11" width="11.42578125" style="117"/>
    <col min="12" max="12" width="11.5703125" style="117" customWidth="1"/>
    <col min="13" max="13" width="15.42578125" style="117" customWidth="1"/>
    <col min="14" max="14" width="17.140625" style="117" customWidth="1"/>
    <col min="15" max="15" width="13.7109375" style="117" bestFit="1" customWidth="1"/>
    <col min="16" max="16384" width="11.42578125" style="117"/>
  </cols>
  <sheetData>
    <row r="2" spans="1:12" ht="23.25">
      <c r="A2" s="176" t="s">
        <v>525</v>
      </c>
    </row>
    <row r="5" spans="1:12" ht="18">
      <c r="A5" s="125" t="s">
        <v>524</v>
      </c>
    </row>
    <row r="7" spans="1:12" ht="15">
      <c r="A7" s="1197" t="s">
        <v>736</v>
      </c>
      <c r="B7" s="1197"/>
      <c r="C7" s="1197"/>
      <c r="D7" s="1197"/>
      <c r="E7" s="129"/>
      <c r="F7" s="1201" t="s">
        <v>455</v>
      </c>
      <c r="G7" s="1201"/>
      <c r="H7" s="1201"/>
      <c r="I7" s="1201"/>
      <c r="J7" s="1202"/>
    </row>
    <row r="8" spans="1:12" ht="29.25" customHeight="1">
      <c r="A8" s="128" t="s">
        <v>468</v>
      </c>
      <c r="B8" s="130" t="s">
        <v>205</v>
      </c>
      <c r="C8" s="131" t="s">
        <v>469</v>
      </c>
      <c r="D8" s="131" t="s">
        <v>470</v>
      </c>
      <c r="E8" s="132"/>
      <c r="F8" s="128" t="s">
        <v>468</v>
      </c>
      <c r="G8" s="133">
        <v>0.25</v>
      </c>
      <c r="H8" s="128" t="s">
        <v>471</v>
      </c>
      <c r="I8" s="131" t="s">
        <v>469</v>
      </c>
      <c r="J8" s="131" t="s">
        <v>470</v>
      </c>
    </row>
    <row r="9" spans="1:12">
      <c r="A9" s="134">
        <v>2005</v>
      </c>
      <c r="B9" s="135">
        <v>1431246</v>
      </c>
      <c r="C9" s="134">
        <v>33</v>
      </c>
      <c r="D9" s="136">
        <f>B9/C9</f>
        <v>43371.090909090912</v>
      </c>
      <c r="E9" s="137"/>
      <c r="F9" s="134">
        <v>2005</v>
      </c>
      <c r="G9" s="138"/>
      <c r="H9" s="139">
        <v>1071707</v>
      </c>
      <c r="I9" s="140">
        <v>30</v>
      </c>
      <c r="J9" s="141">
        <f>H9/I9</f>
        <v>35723.566666666666</v>
      </c>
    </row>
    <row r="10" spans="1:12">
      <c r="A10" s="134">
        <v>2006</v>
      </c>
      <c r="B10" s="135">
        <v>1802432</v>
      </c>
      <c r="C10" s="134">
        <v>45</v>
      </c>
      <c r="D10" s="136">
        <f>B10/C10</f>
        <v>40054.044444444444</v>
      </c>
      <c r="E10" s="137"/>
      <c r="F10" s="134">
        <v>2006</v>
      </c>
      <c r="G10" s="138"/>
      <c r="H10" s="139">
        <v>1373429</v>
      </c>
      <c r="I10" s="140">
        <v>42</v>
      </c>
      <c r="J10" s="141">
        <f>H10/I10</f>
        <v>32700.690476190477</v>
      </c>
      <c r="K10" s="142"/>
    </row>
    <row r="11" spans="1:12">
      <c r="A11" s="134">
        <v>2007</v>
      </c>
      <c r="B11" s="135">
        <v>2143570</v>
      </c>
      <c r="C11" s="134">
        <v>57</v>
      </c>
      <c r="D11" s="136">
        <f>B11/C11</f>
        <v>37606.491228070176</v>
      </c>
      <c r="E11" s="137"/>
      <c r="F11" s="134">
        <v>2007</v>
      </c>
      <c r="G11" s="138"/>
      <c r="H11" s="139">
        <v>1635341</v>
      </c>
      <c r="I11" s="140">
        <v>42</v>
      </c>
      <c r="J11" s="141">
        <f>H11/I11</f>
        <v>38936.690476190473</v>
      </c>
      <c r="K11" s="142"/>
    </row>
    <row r="12" spans="1:12">
      <c r="A12" s="134">
        <v>2008</v>
      </c>
      <c r="B12" s="135">
        <v>2532241</v>
      </c>
      <c r="C12" s="134">
        <v>69</v>
      </c>
      <c r="D12" s="136">
        <f>B12/C12</f>
        <v>36699.144927536232</v>
      </c>
      <c r="E12" s="137"/>
      <c r="F12" s="134" t="s">
        <v>472</v>
      </c>
      <c r="G12" s="138">
        <f>B12*$G$8</f>
        <v>633060.25</v>
      </c>
      <c r="H12" s="139">
        <f>B12-G12</f>
        <v>1899180.75</v>
      </c>
      <c r="I12" s="140">
        <v>56</v>
      </c>
      <c r="J12" s="141">
        <f>H12/I12</f>
        <v>33913.941964285717</v>
      </c>
      <c r="K12" s="142"/>
    </row>
    <row r="13" spans="1:12">
      <c r="A13" s="134">
        <v>2009</v>
      </c>
      <c r="B13" s="135">
        <v>3013638</v>
      </c>
      <c r="C13" s="134">
        <v>80</v>
      </c>
      <c r="D13" s="136">
        <f>B13/C13</f>
        <v>37670.474999999999</v>
      </c>
      <c r="E13" s="137"/>
      <c r="F13" s="134" t="s">
        <v>473</v>
      </c>
      <c r="G13" s="138">
        <f>B13-H13</f>
        <v>978801.48214285704</v>
      </c>
      <c r="H13" s="139">
        <f>J12*I13</f>
        <v>2034836.517857143</v>
      </c>
      <c r="I13" s="140">
        <v>60</v>
      </c>
      <c r="J13" s="141">
        <f>H13/I13</f>
        <v>33913.941964285717</v>
      </c>
      <c r="K13" s="142"/>
      <c r="L13" s="143"/>
    </row>
    <row r="14" spans="1:12" ht="15">
      <c r="A14" s="128" t="s">
        <v>85</v>
      </c>
      <c r="B14" s="144">
        <f>SUM(B9:B13)</f>
        <v>10923127</v>
      </c>
      <c r="C14" s="145">
        <f>(C13/C9)^(1/4)-1</f>
        <v>0.24779721442349989</v>
      </c>
      <c r="D14" s="146">
        <f>AVERAGE(D9:D13)</f>
        <v>39080.249301828349</v>
      </c>
      <c r="E14" s="147"/>
      <c r="F14" s="128" t="s">
        <v>85</v>
      </c>
      <c r="G14" s="128" t="s">
        <v>474</v>
      </c>
      <c r="H14" s="146">
        <f>SUM(H9:H13)</f>
        <v>8014494.2678571427</v>
      </c>
      <c r="I14" s="148">
        <f>(I13/I9)^(1/4)-1</f>
        <v>0.18920711500272103</v>
      </c>
      <c r="J14" s="146">
        <f>AVERAGE(J9:J13)</f>
        <v>35037.766309523809</v>
      </c>
      <c r="K14" s="149"/>
    </row>
    <row r="15" spans="1:12">
      <c r="F15" s="150"/>
      <c r="G15" s="150" t="s">
        <v>475</v>
      </c>
      <c r="H15" s="151">
        <f>H14/5</f>
        <v>1602898.8535714285</v>
      </c>
      <c r="I15" s="138"/>
      <c r="J15" s="152"/>
      <c r="K15" s="149"/>
    </row>
    <row r="16" spans="1:12">
      <c r="K16" s="149"/>
    </row>
    <row r="17" spans="1:12" ht="30.75" customHeight="1">
      <c r="A17" s="1198" t="s">
        <v>715</v>
      </c>
      <c r="B17" s="1199"/>
      <c r="C17" s="1199"/>
      <c r="D17" s="1200"/>
      <c r="E17" s="129"/>
      <c r="F17" s="1198" t="s">
        <v>716</v>
      </c>
      <c r="G17" s="1199"/>
      <c r="H17" s="1199"/>
      <c r="I17" s="1200"/>
      <c r="J17" s="149"/>
    </row>
    <row r="18" spans="1:12" ht="33.75" customHeight="1">
      <c r="A18" s="128" t="s">
        <v>468</v>
      </c>
      <c r="B18" s="482" t="s">
        <v>205</v>
      </c>
      <c r="C18" s="482" t="s">
        <v>469</v>
      </c>
      <c r="D18" s="482" t="s">
        <v>470</v>
      </c>
      <c r="E18" s="132"/>
      <c r="F18" s="483" t="s">
        <v>468</v>
      </c>
      <c r="G18" s="484" t="s">
        <v>205</v>
      </c>
      <c r="H18" s="483" t="s">
        <v>469</v>
      </c>
      <c r="I18" s="483" t="s">
        <v>470</v>
      </c>
      <c r="J18" s="149" t="s">
        <v>476</v>
      </c>
    </row>
    <row r="19" spans="1:12">
      <c r="A19" s="134">
        <v>2009</v>
      </c>
      <c r="B19" s="135">
        <v>2199200</v>
      </c>
      <c r="C19" s="134">
        <v>74</v>
      </c>
      <c r="D19" s="135">
        <f>B19/C19</f>
        <v>29718.91891891892</v>
      </c>
      <c r="E19" s="137"/>
      <c r="F19" s="485">
        <v>2009</v>
      </c>
      <c r="G19" s="486">
        <f>H19*I19</f>
        <v>1734000</v>
      </c>
      <c r="H19" s="485">
        <v>60</v>
      </c>
      <c r="I19" s="486">
        <v>28900</v>
      </c>
      <c r="J19" s="155">
        <f t="shared" ref="J19:J24" si="0">+G19/B19-1</f>
        <v>-0.21153146598763184</v>
      </c>
      <c r="L19" s="142"/>
    </row>
    <row r="20" spans="1:12">
      <c r="A20" s="134">
        <v>2010</v>
      </c>
      <c r="B20" s="135">
        <v>2509717</v>
      </c>
      <c r="C20" s="134">
        <v>88</v>
      </c>
      <c r="D20" s="135">
        <f>B20/C20</f>
        <v>28519.511363636364</v>
      </c>
      <c r="E20" s="137"/>
      <c r="F20" s="485">
        <v>2010</v>
      </c>
      <c r="G20" s="486">
        <f>H20*I20</f>
        <v>1907400</v>
      </c>
      <c r="H20" s="487">
        <f>ROUND(H19*1.1,0)</f>
        <v>66</v>
      </c>
      <c r="I20" s="486">
        <v>28900</v>
      </c>
      <c r="J20" s="155">
        <f t="shared" si="0"/>
        <v>-0.23999399135440369</v>
      </c>
      <c r="L20" s="142"/>
    </row>
    <row r="21" spans="1:12">
      <c r="A21" s="134">
        <v>2011</v>
      </c>
      <c r="B21" s="135">
        <v>2804014</v>
      </c>
      <c r="C21" s="134">
        <v>98</v>
      </c>
      <c r="D21" s="135">
        <f>B21/C21</f>
        <v>28612.387755102041</v>
      </c>
      <c r="E21" s="137"/>
      <c r="F21" s="485">
        <v>2011</v>
      </c>
      <c r="G21" s="486">
        <f>H21*I21</f>
        <v>2109700</v>
      </c>
      <c r="H21" s="487">
        <f>ROUND(H20*1.1,0)</f>
        <v>73</v>
      </c>
      <c r="I21" s="486">
        <v>28900</v>
      </c>
      <c r="J21" s="155">
        <f t="shared" si="0"/>
        <v>-0.24761431290999258</v>
      </c>
      <c r="L21" s="142"/>
    </row>
    <row r="22" spans="1:12">
      <c r="A22" s="134">
        <v>2012</v>
      </c>
      <c r="B22" s="135">
        <v>2958613</v>
      </c>
      <c r="C22" s="134">
        <v>103</v>
      </c>
      <c r="D22" s="135">
        <f>B22/C22</f>
        <v>28724.398058252427</v>
      </c>
      <c r="E22" s="137"/>
      <c r="F22" s="485">
        <v>2012</v>
      </c>
      <c r="G22" s="486">
        <f>H22*I22</f>
        <v>2312000</v>
      </c>
      <c r="H22" s="487">
        <f>ROUND(H21*1.1,0)</f>
        <v>80</v>
      </c>
      <c r="I22" s="486">
        <v>28900</v>
      </c>
      <c r="J22" s="155">
        <f t="shared" si="0"/>
        <v>-0.21855274752054421</v>
      </c>
      <c r="L22" s="142"/>
    </row>
    <row r="23" spans="1:12">
      <c r="A23" s="134">
        <v>2013</v>
      </c>
      <c r="B23" s="135">
        <v>3107332</v>
      </c>
      <c r="C23" s="134">
        <v>107</v>
      </c>
      <c r="D23" s="135">
        <f>B23/C23</f>
        <v>29040.485981308411</v>
      </c>
      <c r="E23" s="137"/>
      <c r="F23" s="485">
        <v>2013</v>
      </c>
      <c r="G23" s="486">
        <f>H23*I23</f>
        <v>2543200</v>
      </c>
      <c r="H23" s="487">
        <f>ROUND(H22*1.1,0)</f>
        <v>88</v>
      </c>
      <c r="I23" s="486">
        <v>28900</v>
      </c>
      <c r="J23" s="155">
        <f t="shared" si="0"/>
        <v>-0.18154867262333085</v>
      </c>
      <c r="L23" s="142"/>
    </row>
    <row r="24" spans="1:12" ht="15">
      <c r="A24" s="128" t="s">
        <v>85</v>
      </c>
      <c r="B24" s="144">
        <f>SUM(B19:B23)</f>
        <v>13578876</v>
      </c>
      <c r="C24" s="156">
        <f>(C23/C19)^(1/4)-1</f>
        <v>9.6574176828826852E-2</v>
      </c>
      <c r="D24" s="144">
        <f>AVERAGE(D19:D23)</f>
        <v>28923.140415443631</v>
      </c>
      <c r="E24" s="147"/>
      <c r="F24" s="483" t="s">
        <v>85</v>
      </c>
      <c r="G24" s="488">
        <f>SUM(G19:G23)</f>
        <v>10606300</v>
      </c>
      <c r="H24" s="489">
        <f>(H23/H19)^(1/4)-1</f>
        <v>0.10048177705902828</v>
      </c>
      <c r="I24" s="488">
        <f>AVERAGE(I19:I23)</f>
        <v>28900</v>
      </c>
      <c r="J24" s="155">
        <f t="shared" si="0"/>
        <v>-0.21891178621853535</v>
      </c>
      <c r="L24" s="142"/>
    </row>
    <row r="25" spans="1:12">
      <c r="J25" s="177"/>
    </row>
    <row r="26" spans="1:12">
      <c r="J26" s="177"/>
    </row>
    <row r="27" spans="1:12">
      <c r="J27" s="177"/>
    </row>
    <row r="28" spans="1:12">
      <c r="J28" s="177"/>
    </row>
    <row r="29" spans="1:12">
      <c r="J29" s="177"/>
    </row>
    <row r="30" spans="1:12">
      <c r="J30" s="177"/>
    </row>
    <row r="31" spans="1:12">
      <c r="J31" s="177"/>
    </row>
    <row r="32" spans="1:12">
      <c r="J32" s="177"/>
    </row>
    <row r="33" spans="1:18" ht="18">
      <c r="A33" s="125" t="s">
        <v>523</v>
      </c>
    </row>
    <row r="35" spans="1:18" ht="15">
      <c r="A35" s="158" t="s">
        <v>486</v>
      </c>
      <c r="E35" s="117"/>
    </row>
    <row r="36" spans="1:18">
      <c r="A36" s="119"/>
      <c r="B36" s="119"/>
      <c r="C36" s="119"/>
      <c r="D36" s="119"/>
      <c r="F36" s="119"/>
      <c r="G36" s="119"/>
      <c r="H36" s="119"/>
      <c r="I36" s="119"/>
      <c r="J36" s="119"/>
      <c r="K36" s="119"/>
      <c r="L36" s="119"/>
      <c r="M36" s="119"/>
      <c r="N36" s="119"/>
    </row>
    <row r="37" spans="1:18">
      <c r="A37" s="119"/>
      <c r="B37" s="119"/>
      <c r="C37" s="119"/>
      <c r="D37" s="119"/>
      <c r="F37" s="119"/>
      <c r="G37" s="119"/>
      <c r="H37" s="119"/>
      <c r="I37" s="119"/>
      <c r="J37" s="119"/>
      <c r="K37" s="119"/>
      <c r="L37" s="119"/>
      <c r="M37" s="119"/>
      <c r="N37" s="119"/>
    </row>
    <row r="38" spans="1:18" ht="15">
      <c r="A38" s="1195" t="s">
        <v>487</v>
      </c>
      <c r="B38" s="1195"/>
      <c r="C38" s="1195"/>
      <c r="D38" s="1195"/>
      <c r="E38" s="1195"/>
      <c r="F38" s="1195"/>
      <c r="G38" s="1195"/>
      <c r="H38" s="1195"/>
      <c r="I38" s="1195"/>
      <c r="J38" s="1195"/>
      <c r="K38" s="1195"/>
      <c r="L38" s="1195"/>
      <c r="M38" s="1195"/>
      <c r="N38" s="132"/>
      <c r="O38" s="120"/>
      <c r="P38" s="120"/>
      <c r="Q38" s="120"/>
      <c r="R38" s="120"/>
    </row>
    <row r="39" spans="1:18" ht="15">
      <c r="A39" s="1195" t="s">
        <v>197</v>
      </c>
      <c r="B39" s="1195"/>
      <c r="C39" s="1195"/>
      <c r="D39" s="1195"/>
      <c r="E39" s="1195"/>
      <c r="F39" s="1195"/>
      <c r="G39" s="1195"/>
      <c r="H39" s="1195"/>
      <c r="I39" s="1195"/>
      <c r="J39" s="1195"/>
      <c r="K39" s="1195"/>
      <c r="L39" s="1195"/>
      <c r="M39" s="1195"/>
      <c r="N39" s="132"/>
      <c r="O39" s="120"/>
      <c r="P39" s="120"/>
      <c r="Q39" s="120"/>
      <c r="R39" s="120"/>
    </row>
    <row r="40" spans="1:18" ht="15">
      <c r="A40" s="1196" t="s">
        <v>488</v>
      </c>
      <c r="B40" s="1196"/>
      <c r="C40" s="1196"/>
      <c r="D40" s="1196"/>
      <c r="E40" s="1196"/>
      <c r="F40" s="1196"/>
      <c r="G40" s="1196"/>
      <c r="H40" s="1196"/>
      <c r="I40" s="1196"/>
      <c r="J40" s="1196"/>
      <c r="K40" s="1196"/>
      <c r="L40" s="1196"/>
      <c r="M40" s="1196"/>
      <c r="N40" s="115"/>
      <c r="O40" s="120"/>
      <c r="P40" s="120"/>
      <c r="Q40" s="120"/>
      <c r="R40" s="120"/>
    </row>
    <row r="41" spans="1:18" ht="15">
      <c r="A41" s="578" t="s">
        <v>198</v>
      </c>
      <c r="B41" s="578" t="s">
        <v>294</v>
      </c>
      <c r="C41" s="1190" t="s">
        <v>203</v>
      </c>
      <c r="D41" s="1190"/>
      <c r="E41" s="1190" t="s">
        <v>289</v>
      </c>
      <c r="F41" s="1190"/>
      <c r="G41" s="1190" t="s">
        <v>290</v>
      </c>
      <c r="H41" s="1190"/>
      <c r="I41" s="1190" t="s">
        <v>291</v>
      </c>
      <c r="J41" s="1190"/>
      <c r="K41" s="1190" t="s">
        <v>292</v>
      </c>
      <c r="L41" s="1190"/>
      <c r="M41" s="578" t="s">
        <v>85</v>
      </c>
    </row>
    <row r="42" spans="1:18" ht="28.5">
      <c r="A42" s="159" t="s">
        <v>489</v>
      </c>
      <c r="B42" s="160" t="s">
        <v>296</v>
      </c>
      <c r="C42" s="161">
        <v>2</v>
      </c>
      <c r="D42" s="162">
        <f>(35000+3000)*C42</f>
        <v>76000</v>
      </c>
      <c r="E42" s="161">
        <v>2</v>
      </c>
      <c r="F42" s="162">
        <f>(35000+3000)*E42</f>
        <v>76000</v>
      </c>
      <c r="G42" s="161">
        <v>2</v>
      </c>
      <c r="H42" s="162">
        <f>(35000+3000)*G42</f>
        <v>76000</v>
      </c>
      <c r="I42" s="161">
        <v>2</v>
      </c>
      <c r="J42" s="162">
        <f>(35000+3000)*I42</f>
        <v>76000</v>
      </c>
      <c r="K42" s="161"/>
      <c r="L42" s="162"/>
      <c r="M42" s="163">
        <f>SUM(D42+F42+H42+J42+L42)</f>
        <v>304000</v>
      </c>
      <c r="N42" s="164"/>
      <c r="O42" s="165"/>
      <c r="P42" s="165"/>
      <c r="Q42" s="165"/>
    </row>
    <row r="43" spans="1:18" ht="42.75">
      <c r="A43" s="159" t="s">
        <v>490</v>
      </c>
      <c r="B43" s="160" t="s">
        <v>295</v>
      </c>
      <c r="C43" s="161">
        <v>6</v>
      </c>
      <c r="D43" s="162">
        <f>35000*C43</f>
        <v>210000</v>
      </c>
      <c r="E43" s="161">
        <v>8</v>
      </c>
      <c r="F43" s="162">
        <f>35000*E43</f>
        <v>280000</v>
      </c>
      <c r="G43" s="161">
        <v>12</v>
      </c>
      <c r="H43" s="162">
        <f>35000*G43</f>
        <v>420000</v>
      </c>
      <c r="I43" s="161">
        <v>11</v>
      </c>
      <c r="J43" s="162">
        <f>35000*I43</f>
        <v>385000</v>
      </c>
      <c r="K43" s="161">
        <v>10</v>
      </c>
      <c r="L43" s="162">
        <f>35000*K43</f>
        <v>350000</v>
      </c>
      <c r="M43" s="163">
        <f t="shared" ref="M43:M71" si="1">SUM(D43+F43+H43+J43+L43)</f>
        <v>1645000</v>
      </c>
      <c r="N43" s="164"/>
      <c r="O43" s="165"/>
      <c r="P43" s="165"/>
      <c r="Q43" s="165"/>
    </row>
    <row r="44" spans="1:18" ht="42.75">
      <c r="A44" s="159" t="s">
        <v>491</v>
      </c>
      <c r="B44" s="160" t="s">
        <v>296</v>
      </c>
      <c r="C44" s="161">
        <v>6</v>
      </c>
      <c r="D44" s="162">
        <f>4000*C44</f>
        <v>24000</v>
      </c>
      <c r="E44" s="161"/>
      <c r="F44" s="162"/>
      <c r="G44" s="161">
        <v>12</v>
      </c>
      <c r="H44" s="162">
        <f>4000*G44</f>
        <v>48000</v>
      </c>
      <c r="I44" s="161">
        <v>12</v>
      </c>
      <c r="J44" s="162">
        <f>4000*I44</f>
        <v>48000</v>
      </c>
      <c r="K44" s="161">
        <v>12</v>
      </c>
      <c r="L44" s="162">
        <f>4000*K44</f>
        <v>48000</v>
      </c>
      <c r="M44" s="163">
        <f t="shared" si="1"/>
        <v>168000</v>
      </c>
      <c r="N44" s="164"/>
      <c r="O44" s="165"/>
      <c r="P44" s="165"/>
      <c r="Q44" s="165"/>
    </row>
    <row r="45" spans="1:18" ht="28.5">
      <c r="A45" s="159" t="s">
        <v>492</v>
      </c>
      <c r="B45" s="160" t="s">
        <v>296</v>
      </c>
      <c r="C45" s="161">
        <v>6</v>
      </c>
      <c r="D45" s="162">
        <f>30000*C45</f>
        <v>180000</v>
      </c>
      <c r="E45" s="161">
        <v>12</v>
      </c>
      <c r="F45" s="162">
        <f>30000*E45</f>
        <v>360000</v>
      </c>
      <c r="G45" s="161">
        <v>12</v>
      </c>
      <c r="H45" s="162">
        <f>30000*G45</f>
        <v>360000</v>
      </c>
      <c r="I45" s="161">
        <v>10</v>
      </c>
      <c r="J45" s="162">
        <f>30000*I45</f>
        <v>300000</v>
      </c>
      <c r="K45" s="161">
        <v>10</v>
      </c>
      <c r="L45" s="162">
        <f>30000*K45</f>
        <v>300000</v>
      </c>
      <c r="M45" s="163">
        <f t="shared" si="1"/>
        <v>1500000</v>
      </c>
      <c r="N45" s="164"/>
      <c r="O45" s="165"/>
      <c r="P45" s="165"/>
      <c r="Q45" s="165"/>
    </row>
    <row r="46" spans="1:18" ht="42.75">
      <c r="A46" s="159" t="s">
        <v>493</v>
      </c>
      <c r="B46" s="160" t="s">
        <v>296</v>
      </c>
      <c r="C46" s="161"/>
      <c r="D46" s="162"/>
      <c r="E46" s="161">
        <v>2</v>
      </c>
      <c r="F46" s="162">
        <v>30000</v>
      </c>
      <c r="G46" s="161"/>
      <c r="H46" s="162"/>
      <c r="I46" s="161">
        <v>2</v>
      </c>
      <c r="J46" s="162">
        <v>30000</v>
      </c>
      <c r="K46" s="161"/>
      <c r="L46" s="162"/>
      <c r="M46" s="163">
        <f>SUM(D46+F46+H46+J46+L46)</f>
        <v>60000</v>
      </c>
      <c r="N46" s="164"/>
      <c r="O46" s="165"/>
      <c r="P46" s="165"/>
      <c r="Q46" s="165"/>
    </row>
    <row r="47" spans="1:18" ht="42.75">
      <c r="A47" s="159" t="s">
        <v>494</v>
      </c>
      <c r="B47" s="160" t="s">
        <v>296</v>
      </c>
      <c r="C47" s="161">
        <v>1</v>
      </c>
      <c r="D47" s="162"/>
      <c r="E47" s="161"/>
      <c r="F47" s="162">
        <v>100000</v>
      </c>
      <c r="G47" s="161"/>
      <c r="H47" s="162">
        <v>75000</v>
      </c>
      <c r="I47" s="161"/>
      <c r="J47" s="162"/>
      <c r="K47" s="161"/>
      <c r="L47" s="162"/>
      <c r="M47" s="163">
        <f>SUM(D47+F47+H47+J47+L47)</f>
        <v>175000</v>
      </c>
      <c r="N47" s="164"/>
      <c r="O47" s="165"/>
      <c r="P47" s="165"/>
      <c r="Q47" s="165"/>
    </row>
    <row r="48" spans="1:18" ht="28.5">
      <c r="A48" s="159" t="s">
        <v>495</v>
      </c>
      <c r="B48" s="160" t="s">
        <v>297</v>
      </c>
      <c r="C48" s="161"/>
      <c r="D48" s="162">
        <v>30000</v>
      </c>
      <c r="E48" s="161"/>
      <c r="F48" s="162"/>
      <c r="G48" s="161"/>
      <c r="H48" s="162"/>
      <c r="I48" s="161"/>
      <c r="J48" s="162"/>
      <c r="K48" s="161"/>
      <c r="L48" s="162"/>
      <c r="M48" s="163">
        <f>SUM(D48+F48+H48+J48+L48)</f>
        <v>30000</v>
      </c>
      <c r="N48" s="164"/>
      <c r="O48" s="165"/>
      <c r="P48" s="165"/>
      <c r="Q48" s="165"/>
    </row>
    <row r="49" spans="1:17" ht="28.5">
      <c r="A49" s="159" t="s">
        <v>496</v>
      </c>
      <c r="B49" s="160" t="s">
        <v>296</v>
      </c>
      <c r="C49" s="161"/>
      <c r="D49" s="162">
        <v>23000</v>
      </c>
      <c r="E49" s="161"/>
      <c r="F49" s="162"/>
      <c r="G49" s="161"/>
      <c r="H49" s="162">
        <v>10000</v>
      </c>
      <c r="I49" s="161"/>
      <c r="J49" s="162"/>
      <c r="K49" s="161"/>
      <c r="L49" s="162">
        <v>13500</v>
      </c>
      <c r="M49" s="163">
        <f>SUM(D49+F49+H49+J49+L49)</f>
        <v>46500</v>
      </c>
      <c r="N49" s="164"/>
      <c r="O49" s="165"/>
      <c r="P49" s="165"/>
      <c r="Q49" s="165"/>
    </row>
    <row r="50" spans="1:17" ht="42.75">
      <c r="A50" s="159" t="s">
        <v>497</v>
      </c>
      <c r="B50" s="160" t="s">
        <v>295</v>
      </c>
      <c r="C50" s="161"/>
      <c r="D50" s="162">
        <v>15000</v>
      </c>
      <c r="E50" s="161"/>
      <c r="F50" s="162"/>
      <c r="G50" s="161"/>
      <c r="H50" s="162">
        <v>5000</v>
      </c>
      <c r="I50" s="161"/>
      <c r="J50" s="162"/>
      <c r="K50" s="161"/>
      <c r="L50" s="162">
        <v>1000</v>
      </c>
      <c r="M50" s="163">
        <f>SUM(D50+F50+H50+J50+L50)</f>
        <v>21000</v>
      </c>
      <c r="N50" s="164"/>
      <c r="O50" s="165"/>
      <c r="P50" s="165"/>
      <c r="Q50" s="165"/>
    </row>
    <row r="51" spans="1:17" ht="42.75">
      <c r="A51" s="159" t="s">
        <v>498</v>
      </c>
      <c r="B51" s="160" t="s">
        <v>295</v>
      </c>
      <c r="C51" s="161"/>
      <c r="D51" s="162">
        <v>25000</v>
      </c>
      <c r="E51" s="161"/>
      <c r="F51" s="162">
        <v>50000</v>
      </c>
      <c r="G51" s="161"/>
      <c r="H51" s="162"/>
      <c r="I51" s="161"/>
      <c r="J51" s="162">
        <v>50000</v>
      </c>
      <c r="K51" s="161"/>
      <c r="L51" s="162"/>
      <c r="M51" s="163">
        <f t="shared" si="1"/>
        <v>125000</v>
      </c>
      <c r="N51" s="164"/>
      <c r="O51" s="165"/>
      <c r="P51" s="165"/>
      <c r="Q51" s="165"/>
    </row>
    <row r="52" spans="1:17" ht="28.5">
      <c r="A52" s="159" t="s">
        <v>499</v>
      </c>
      <c r="B52" s="160" t="s">
        <v>296</v>
      </c>
      <c r="C52" s="161"/>
      <c r="D52" s="162">
        <v>25000</v>
      </c>
      <c r="E52" s="161"/>
      <c r="F52" s="162">
        <v>35000</v>
      </c>
      <c r="G52" s="161"/>
      <c r="H52" s="162">
        <v>35000</v>
      </c>
      <c r="I52" s="161"/>
      <c r="J52" s="162">
        <v>35000</v>
      </c>
      <c r="K52" s="161"/>
      <c r="L52" s="162">
        <v>45000</v>
      </c>
      <c r="M52" s="163">
        <f>SUM(D52+F52+H52+J52+L52)</f>
        <v>175000</v>
      </c>
      <c r="N52" s="164"/>
      <c r="O52" s="165"/>
      <c r="P52" s="165"/>
      <c r="Q52" s="165"/>
    </row>
    <row r="53" spans="1:17" ht="28.5">
      <c r="A53" s="159" t="s">
        <v>500</v>
      </c>
      <c r="B53" s="160" t="s">
        <v>296</v>
      </c>
      <c r="C53" s="161"/>
      <c r="D53" s="162">
        <v>60000</v>
      </c>
      <c r="E53" s="161"/>
      <c r="F53" s="162"/>
      <c r="G53" s="161"/>
      <c r="H53" s="162">
        <v>40000</v>
      </c>
      <c r="I53" s="161"/>
      <c r="J53" s="162"/>
      <c r="K53" s="161"/>
      <c r="L53" s="162">
        <v>40000</v>
      </c>
      <c r="M53" s="163">
        <f>SUM(D53+F53+H53+J53+L53)</f>
        <v>140000</v>
      </c>
      <c r="N53" s="164"/>
      <c r="O53" s="165"/>
      <c r="P53" s="165"/>
      <c r="Q53" s="165"/>
    </row>
    <row r="54" spans="1:17" ht="28.5">
      <c r="A54" s="159" t="s">
        <v>501</v>
      </c>
      <c r="B54" s="160" t="s">
        <v>296</v>
      </c>
      <c r="C54" s="161">
        <v>3</v>
      </c>
      <c r="D54" s="162">
        <v>30000</v>
      </c>
      <c r="E54" s="161">
        <v>3</v>
      </c>
      <c r="F54" s="162">
        <f>10000*E54</f>
        <v>30000</v>
      </c>
      <c r="G54" s="161">
        <v>2</v>
      </c>
      <c r="H54" s="162">
        <f>10000*G54</f>
        <v>20000</v>
      </c>
      <c r="I54" s="161">
        <v>1</v>
      </c>
      <c r="J54" s="162">
        <f>10000*I54</f>
        <v>10000</v>
      </c>
      <c r="K54" s="161">
        <v>1</v>
      </c>
      <c r="L54" s="162">
        <f>10000*K54</f>
        <v>10000</v>
      </c>
      <c r="M54" s="163">
        <f>SUM(D54+F54+H54+J54+L54)</f>
        <v>100000</v>
      </c>
      <c r="N54" s="164"/>
      <c r="O54" s="165"/>
      <c r="P54" s="165"/>
      <c r="Q54" s="165"/>
    </row>
    <row r="55" spans="1:17" ht="28.5">
      <c r="A55" s="159" t="s">
        <v>502</v>
      </c>
      <c r="B55" s="160" t="s">
        <v>297</v>
      </c>
      <c r="C55" s="161"/>
      <c r="D55" s="162">
        <v>25000</v>
      </c>
      <c r="E55" s="161"/>
      <c r="F55" s="162">
        <v>25000</v>
      </c>
      <c r="G55" s="161"/>
      <c r="H55" s="162">
        <v>25000</v>
      </c>
      <c r="I55" s="161"/>
      <c r="J55" s="162">
        <v>25000</v>
      </c>
      <c r="K55" s="161"/>
      <c r="L55" s="162">
        <v>25000</v>
      </c>
      <c r="M55" s="163">
        <f t="shared" si="1"/>
        <v>125000</v>
      </c>
      <c r="N55" s="164"/>
      <c r="O55" s="165"/>
      <c r="P55" s="165"/>
      <c r="Q55" s="165"/>
    </row>
    <row r="56" spans="1:17" ht="42.75">
      <c r="A56" s="159" t="s">
        <v>503</v>
      </c>
      <c r="B56" s="160" t="s">
        <v>297</v>
      </c>
      <c r="C56" s="161"/>
      <c r="D56" s="162">
        <f>5000+9000</f>
        <v>14000</v>
      </c>
      <c r="E56" s="161"/>
      <c r="F56" s="162">
        <f>9000+4000</f>
        <v>13000</v>
      </c>
      <c r="G56" s="161"/>
      <c r="H56" s="162">
        <v>5000</v>
      </c>
      <c r="I56" s="161"/>
      <c r="J56" s="162">
        <v>5000</v>
      </c>
      <c r="K56" s="161"/>
      <c r="L56" s="162">
        <v>6000</v>
      </c>
      <c r="M56" s="163">
        <f t="shared" si="1"/>
        <v>43000</v>
      </c>
      <c r="N56" s="164"/>
      <c r="O56" s="165"/>
      <c r="P56" s="165"/>
      <c r="Q56" s="165"/>
    </row>
    <row r="57" spans="1:17" ht="42.75">
      <c r="A57" s="159" t="s">
        <v>504</v>
      </c>
      <c r="B57" s="160" t="s">
        <v>297</v>
      </c>
      <c r="C57" s="161"/>
      <c r="D57" s="162">
        <v>50000</v>
      </c>
      <c r="E57" s="161"/>
      <c r="F57" s="162"/>
      <c r="G57" s="161"/>
      <c r="H57" s="162"/>
      <c r="I57" s="161"/>
      <c r="J57" s="162"/>
      <c r="K57" s="161"/>
      <c r="L57" s="162"/>
      <c r="M57" s="163">
        <f t="shared" si="1"/>
        <v>50000</v>
      </c>
      <c r="N57" s="164"/>
      <c r="O57" s="165"/>
      <c r="P57" s="165"/>
      <c r="Q57" s="165"/>
    </row>
    <row r="58" spans="1:17" ht="57">
      <c r="A58" s="159" t="s">
        <v>505</v>
      </c>
      <c r="B58" s="160" t="s">
        <v>297</v>
      </c>
      <c r="C58" s="161"/>
      <c r="D58" s="162">
        <v>15000</v>
      </c>
      <c r="E58" s="161"/>
      <c r="F58" s="162">
        <v>15000</v>
      </c>
      <c r="G58" s="161"/>
      <c r="H58" s="162"/>
      <c r="I58" s="161"/>
      <c r="J58" s="162"/>
      <c r="K58" s="161"/>
      <c r="L58" s="162"/>
      <c r="M58" s="163">
        <f>SUM(D58+F58+H58+J58+L58)</f>
        <v>30000</v>
      </c>
      <c r="N58" s="164"/>
      <c r="O58" s="165"/>
      <c r="P58" s="165"/>
      <c r="Q58" s="165"/>
    </row>
    <row r="59" spans="1:17" ht="28.5">
      <c r="A59" s="159" t="s">
        <v>506</v>
      </c>
      <c r="B59" s="160" t="s">
        <v>297</v>
      </c>
      <c r="C59" s="161"/>
      <c r="D59" s="162">
        <v>132500</v>
      </c>
      <c r="E59" s="161"/>
      <c r="F59" s="162">
        <v>50000</v>
      </c>
      <c r="G59" s="161"/>
      <c r="H59" s="162">
        <v>5000</v>
      </c>
      <c r="I59" s="161"/>
      <c r="J59" s="162">
        <v>5000</v>
      </c>
      <c r="K59" s="161"/>
      <c r="L59" s="162">
        <v>5000</v>
      </c>
      <c r="M59" s="163">
        <f t="shared" si="1"/>
        <v>197500</v>
      </c>
      <c r="N59" s="164"/>
      <c r="O59" s="165"/>
      <c r="P59" s="165"/>
      <c r="Q59" s="165"/>
    </row>
    <row r="60" spans="1:17" ht="28.5">
      <c r="A60" s="159" t="s">
        <v>507</v>
      </c>
      <c r="B60" s="160" t="s">
        <v>297</v>
      </c>
      <c r="C60" s="161"/>
      <c r="D60" s="162">
        <v>40000</v>
      </c>
      <c r="E60" s="161"/>
      <c r="F60" s="162"/>
      <c r="G60" s="161"/>
      <c r="H60" s="162"/>
      <c r="I60" s="161"/>
      <c r="J60" s="162"/>
      <c r="K60" s="161"/>
      <c r="L60" s="162"/>
      <c r="M60" s="163">
        <f t="shared" si="1"/>
        <v>40000</v>
      </c>
      <c r="N60" s="164"/>
      <c r="O60" s="165"/>
      <c r="P60" s="165"/>
      <c r="Q60" s="165"/>
    </row>
    <row r="61" spans="1:17" ht="28.5">
      <c r="A61" s="159" t="s">
        <v>508</v>
      </c>
      <c r="B61" s="160" t="s">
        <v>297</v>
      </c>
      <c r="C61" s="161"/>
      <c r="D61" s="162">
        <v>10000</v>
      </c>
      <c r="E61" s="161"/>
      <c r="F61" s="162">
        <v>10000</v>
      </c>
      <c r="G61" s="161"/>
      <c r="H61" s="162">
        <v>10000</v>
      </c>
      <c r="I61" s="161"/>
      <c r="J61" s="162">
        <v>10000</v>
      </c>
      <c r="K61" s="161"/>
      <c r="L61" s="162">
        <v>10000</v>
      </c>
      <c r="M61" s="163">
        <f t="shared" si="1"/>
        <v>50000</v>
      </c>
      <c r="N61" s="165"/>
      <c r="O61" s="165"/>
      <c r="P61" s="165"/>
      <c r="Q61" s="165"/>
    </row>
    <row r="62" spans="1:17" ht="28.5">
      <c r="A62" s="159" t="s">
        <v>509</v>
      </c>
      <c r="B62" s="160" t="s">
        <v>296</v>
      </c>
      <c r="C62" s="161">
        <v>2</v>
      </c>
      <c r="D62" s="162">
        <v>50000</v>
      </c>
      <c r="E62" s="161">
        <v>2</v>
      </c>
      <c r="F62" s="162">
        <v>50000</v>
      </c>
      <c r="G62" s="161">
        <v>2</v>
      </c>
      <c r="H62" s="162">
        <v>55000</v>
      </c>
      <c r="I62" s="161">
        <v>2</v>
      </c>
      <c r="J62" s="162">
        <v>55000</v>
      </c>
      <c r="K62" s="161">
        <v>2</v>
      </c>
      <c r="L62" s="162">
        <v>55000</v>
      </c>
      <c r="M62" s="163">
        <f t="shared" si="1"/>
        <v>265000</v>
      </c>
      <c r="N62" s="165"/>
      <c r="O62" s="165"/>
      <c r="P62" s="165"/>
      <c r="Q62" s="165"/>
    </row>
    <row r="63" spans="1:17" ht="28.5">
      <c r="A63" s="159" t="s">
        <v>510</v>
      </c>
      <c r="B63" s="160" t="s">
        <v>296</v>
      </c>
      <c r="C63" s="161">
        <v>1</v>
      </c>
      <c r="D63" s="162">
        <v>20000</v>
      </c>
      <c r="E63" s="161">
        <v>1</v>
      </c>
      <c r="F63" s="162">
        <v>20000</v>
      </c>
      <c r="G63" s="161">
        <v>1</v>
      </c>
      <c r="H63" s="162">
        <v>20000</v>
      </c>
      <c r="I63" s="161">
        <v>1</v>
      </c>
      <c r="J63" s="162">
        <v>20000</v>
      </c>
      <c r="K63" s="161">
        <v>1</v>
      </c>
      <c r="L63" s="162">
        <v>20000</v>
      </c>
      <c r="M63" s="163">
        <f t="shared" si="1"/>
        <v>100000</v>
      </c>
      <c r="N63" s="165"/>
      <c r="O63" s="165"/>
      <c r="P63" s="165"/>
      <c r="Q63" s="165"/>
    </row>
    <row r="64" spans="1:17" ht="42.75">
      <c r="A64" s="159" t="s">
        <v>511</v>
      </c>
      <c r="B64" s="160" t="s">
        <v>296</v>
      </c>
      <c r="C64" s="161"/>
      <c r="D64" s="162">
        <v>10000</v>
      </c>
      <c r="E64" s="161"/>
      <c r="F64" s="162">
        <v>10000</v>
      </c>
      <c r="G64" s="161"/>
      <c r="H64" s="162">
        <v>5000</v>
      </c>
      <c r="I64" s="161"/>
      <c r="J64" s="162">
        <v>10000</v>
      </c>
      <c r="K64" s="161"/>
      <c r="L64" s="162">
        <v>5000</v>
      </c>
      <c r="M64" s="163">
        <f t="shared" si="1"/>
        <v>40000</v>
      </c>
      <c r="N64" s="165"/>
      <c r="O64" s="165"/>
      <c r="P64" s="165"/>
      <c r="Q64" s="165"/>
    </row>
    <row r="65" spans="1:18" ht="42.75">
      <c r="A65" s="159" t="s">
        <v>512</v>
      </c>
      <c r="B65" s="160" t="s">
        <v>296</v>
      </c>
      <c r="C65" s="161"/>
      <c r="D65" s="162"/>
      <c r="E65" s="161"/>
      <c r="F65" s="162">
        <v>50000</v>
      </c>
      <c r="G65" s="161"/>
      <c r="H65" s="162"/>
      <c r="I65" s="161"/>
      <c r="J65" s="162"/>
      <c r="K65" s="161"/>
      <c r="L65" s="162"/>
      <c r="M65" s="163">
        <f t="shared" si="1"/>
        <v>50000</v>
      </c>
    </row>
    <row r="66" spans="1:18" ht="42.75">
      <c r="A66" s="159" t="s">
        <v>513</v>
      </c>
      <c r="B66" s="160" t="s">
        <v>299</v>
      </c>
      <c r="C66" s="161"/>
      <c r="D66" s="162">
        <v>30000</v>
      </c>
      <c r="E66" s="161"/>
      <c r="F66" s="162"/>
      <c r="G66" s="161"/>
      <c r="H66" s="162"/>
      <c r="I66" s="161"/>
      <c r="J66" s="162"/>
      <c r="K66" s="161"/>
      <c r="L66" s="162"/>
      <c r="M66" s="163">
        <f t="shared" si="1"/>
        <v>30000</v>
      </c>
    </row>
    <row r="67" spans="1:18">
      <c r="A67" s="159" t="s">
        <v>481</v>
      </c>
      <c r="B67" s="160" t="s">
        <v>297</v>
      </c>
      <c r="C67" s="161"/>
      <c r="D67" s="162">
        <v>50000</v>
      </c>
      <c r="E67" s="161"/>
      <c r="F67" s="162"/>
      <c r="G67" s="161"/>
      <c r="H67" s="162">
        <v>50000</v>
      </c>
      <c r="I67" s="161"/>
      <c r="J67" s="162"/>
      <c r="K67" s="161"/>
      <c r="L67" s="162">
        <v>50000</v>
      </c>
      <c r="M67" s="163">
        <f t="shared" si="1"/>
        <v>150000</v>
      </c>
    </row>
    <row r="68" spans="1:18">
      <c r="A68" s="159" t="s">
        <v>514</v>
      </c>
      <c r="B68" s="160" t="s">
        <v>296</v>
      </c>
      <c r="C68" s="161"/>
      <c r="D68" s="162">
        <v>10000</v>
      </c>
      <c r="E68" s="161"/>
      <c r="F68" s="162">
        <v>10000</v>
      </c>
      <c r="G68" s="161"/>
      <c r="H68" s="162">
        <v>10000</v>
      </c>
      <c r="I68" s="161"/>
      <c r="J68" s="162">
        <v>10000</v>
      </c>
      <c r="K68" s="161"/>
      <c r="L68" s="162">
        <v>10000</v>
      </c>
      <c r="M68" s="163">
        <f t="shared" si="1"/>
        <v>50000</v>
      </c>
    </row>
    <row r="69" spans="1:18" ht="28.5">
      <c r="A69" s="159" t="s">
        <v>515</v>
      </c>
      <c r="B69" s="160" t="s">
        <v>298</v>
      </c>
      <c r="C69" s="161"/>
      <c r="D69" s="162"/>
      <c r="E69" s="161"/>
      <c r="F69" s="162"/>
      <c r="G69" s="161"/>
      <c r="H69" s="162"/>
      <c r="I69" s="161"/>
      <c r="J69" s="162">
        <v>200000</v>
      </c>
      <c r="K69" s="161"/>
      <c r="L69" s="162"/>
      <c r="M69" s="163">
        <f t="shared" si="1"/>
        <v>200000</v>
      </c>
    </row>
    <row r="70" spans="1:18" ht="28.5">
      <c r="A70" s="159" t="s">
        <v>516</v>
      </c>
      <c r="B70" s="160" t="s">
        <v>296</v>
      </c>
      <c r="C70" s="161"/>
      <c r="D70" s="162">
        <v>6000</v>
      </c>
      <c r="E70" s="161"/>
      <c r="F70" s="162">
        <v>5000</v>
      </c>
      <c r="G70" s="161"/>
      <c r="H70" s="162">
        <v>5000</v>
      </c>
      <c r="I70" s="161"/>
      <c r="J70" s="162">
        <v>5000</v>
      </c>
      <c r="K70" s="161"/>
      <c r="L70" s="162">
        <v>5000</v>
      </c>
      <c r="M70" s="163">
        <f t="shared" si="1"/>
        <v>26000</v>
      </c>
    </row>
    <row r="71" spans="1:18" ht="43.5" thickBot="1">
      <c r="A71" s="166" t="s">
        <v>517</v>
      </c>
      <c r="B71" s="167" t="s">
        <v>296</v>
      </c>
      <c r="C71" s="168"/>
      <c r="D71" s="169">
        <v>20000</v>
      </c>
      <c r="E71" s="168"/>
      <c r="F71" s="169">
        <v>20000</v>
      </c>
      <c r="G71" s="168"/>
      <c r="H71" s="169">
        <v>20000</v>
      </c>
      <c r="I71" s="168"/>
      <c r="J71" s="169">
        <v>25000</v>
      </c>
      <c r="K71" s="168"/>
      <c r="L71" s="169">
        <v>25000</v>
      </c>
      <c r="M71" s="170">
        <f t="shared" si="1"/>
        <v>110000</v>
      </c>
    </row>
    <row r="72" spans="1:18" ht="17.25" customHeight="1" thickBot="1">
      <c r="A72" s="171"/>
      <c r="B72" s="172"/>
      <c r="C72" s="172"/>
      <c r="D72" s="1193">
        <f>SUM(D42:D71)</f>
        <v>1180500</v>
      </c>
      <c r="E72" s="1194"/>
      <c r="F72" s="1193">
        <f>SUM(F42:F71)</f>
        <v>1239000</v>
      </c>
      <c r="G72" s="1194"/>
      <c r="H72" s="1193">
        <f>SUM(H42:H71)</f>
        <v>1299000</v>
      </c>
      <c r="I72" s="1194"/>
      <c r="J72" s="1193">
        <f>SUM(J42:J71)</f>
        <v>1304000</v>
      </c>
      <c r="K72" s="1194"/>
      <c r="L72" s="1193">
        <f>SUM(L42:L71)</f>
        <v>1023500</v>
      </c>
      <c r="M72" s="1194"/>
      <c r="N72" s="173">
        <f>SUM(D72+F72+H72+J72+L72)</f>
        <v>6046000</v>
      </c>
    </row>
    <row r="73" spans="1:18" ht="17.25" customHeight="1">
      <c r="E73" s="117"/>
    </row>
    <row r="74" spans="1:18" ht="17.25" customHeight="1">
      <c r="A74" s="158" t="s">
        <v>518</v>
      </c>
      <c r="E74" s="117"/>
    </row>
    <row r="75" spans="1:18" ht="17.25" customHeight="1">
      <c r="E75" s="117"/>
    </row>
    <row r="76" spans="1:18" ht="17.25" customHeight="1">
      <c r="A76" s="1195" t="s">
        <v>487</v>
      </c>
      <c r="B76" s="1195"/>
      <c r="C76" s="1195"/>
      <c r="D76" s="1195"/>
      <c r="E76" s="1195"/>
      <c r="F76" s="1195"/>
      <c r="G76" s="1195"/>
      <c r="H76" s="1195"/>
      <c r="I76" s="1195"/>
      <c r="J76" s="1195"/>
      <c r="K76" s="1195"/>
      <c r="L76" s="1195"/>
      <c r="M76" s="1195"/>
      <c r="N76" s="132"/>
      <c r="O76" s="120"/>
      <c r="P76" s="120"/>
      <c r="Q76" s="120"/>
      <c r="R76" s="120"/>
    </row>
    <row r="77" spans="1:18" ht="17.25" customHeight="1">
      <c r="A77" s="1195" t="s">
        <v>197</v>
      </c>
      <c r="B77" s="1195"/>
      <c r="C77" s="1195"/>
      <c r="D77" s="1195"/>
      <c r="E77" s="1195"/>
      <c r="F77" s="1195"/>
      <c r="G77" s="1195"/>
      <c r="H77" s="1195"/>
      <c r="I77" s="1195"/>
      <c r="J77" s="1195"/>
      <c r="K77" s="1195"/>
      <c r="L77" s="1195"/>
      <c r="M77" s="1195"/>
      <c r="N77" s="132"/>
      <c r="O77" s="120"/>
      <c r="P77" s="120"/>
      <c r="Q77" s="120"/>
      <c r="R77" s="120"/>
    </row>
    <row r="78" spans="1:18" ht="17.25" customHeight="1">
      <c r="A78" s="1196" t="s">
        <v>519</v>
      </c>
      <c r="B78" s="1196"/>
      <c r="C78" s="1196"/>
      <c r="D78" s="1196"/>
      <c r="E78" s="1196"/>
      <c r="F78" s="1196"/>
      <c r="G78" s="1196"/>
      <c r="H78" s="1196"/>
      <c r="I78" s="1196"/>
      <c r="J78" s="1196"/>
      <c r="K78" s="1196"/>
      <c r="L78" s="1196"/>
      <c r="M78" s="1196"/>
      <c r="N78" s="115"/>
      <c r="O78" s="120"/>
      <c r="P78" s="120"/>
      <c r="Q78" s="120"/>
      <c r="R78" s="120"/>
    </row>
    <row r="79" spans="1:18" ht="17.25" customHeight="1">
      <c r="A79" s="578" t="s">
        <v>198</v>
      </c>
      <c r="B79" s="578" t="s">
        <v>294</v>
      </c>
      <c r="C79" s="1190" t="s">
        <v>203</v>
      </c>
      <c r="D79" s="1190"/>
      <c r="E79" s="1190" t="s">
        <v>289</v>
      </c>
      <c r="F79" s="1190"/>
      <c r="G79" s="1190" t="s">
        <v>290</v>
      </c>
      <c r="H79" s="1190"/>
      <c r="I79" s="1190" t="s">
        <v>291</v>
      </c>
      <c r="J79" s="1190"/>
      <c r="K79" s="1190" t="s">
        <v>292</v>
      </c>
      <c r="L79" s="1190"/>
      <c r="M79" s="578" t="s">
        <v>85</v>
      </c>
    </row>
    <row r="80" spans="1:18" ht="28.5">
      <c r="A80" s="159" t="s">
        <v>489</v>
      </c>
      <c r="B80" s="160" t="s">
        <v>296</v>
      </c>
      <c r="C80" s="161">
        <v>0</v>
      </c>
      <c r="D80" s="162">
        <v>0</v>
      </c>
      <c r="E80" s="161">
        <v>2</v>
      </c>
      <c r="F80" s="162">
        <v>76000</v>
      </c>
      <c r="G80" s="161">
        <v>2</v>
      </c>
      <c r="H80" s="162">
        <v>76000</v>
      </c>
      <c r="I80" s="161">
        <v>1</v>
      </c>
      <c r="J80" s="162">
        <v>38000</v>
      </c>
      <c r="K80" s="161"/>
      <c r="L80" s="162"/>
      <c r="M80" s="163">
        <f>+D80+F80+H80+J80+L80</f>
        <v>190000</v>
      </c>
      <c r="N80" s="164"/>
      <c r="O80" s="108"/>
      <c r="P80" s="108"/>
      <c r="Q80" s="108"/>
      <c r="R80" s="119"/>
    </row>
    <row r="81" spans="1:18" ht="42.75">
      <c r="A81" s="159" t="s">
        <v>490</v>
      </c>
      <c r="B81" s="160" t="s">
        <v>295</v>
      </c>
      <c r="C81" s="161">
        <v>6</v>
      </c>
      <c r="D81" s="162">
        <v>210000</v>
      </c>
      <c r="E81" s="161">
        <v>6</v>
      </c>
      <c r="F81" s="162">
        <v>210000</v>
      </c>
      <c r="G81" s="161">
        <v>6</v>
      </c>
      <c r="H81" s="162">
        <v>210000</v>
      </c>
      <c r="I81" s="161">
        <v>6</v>
      </c>
      <c r="J81" s="162">
        <v>210000</v>
      </c>
      <c r="K81" s="161">
        <v>5</v>
      </c>
      <c r="L81" s="162">
        <v>175000</v>
      </c>
      <c r="M81" s="163">
        <f>+D81+F81+H81+J81+L81</f>
        <v>1015000</v>
      </c>
      <c r="N81" s="164"/>
      <c r="O81" s="108"/>
      <c r="P81" s="108"/>
      <c r="Q81" s="108"/>
      <c r="R81" s="119"/>
    </row>
    <row r="82" spans="1:18" ht="42.75">
      <c r="A82" s="159" t="s">
        <v>491</v>
      </c>
      <c r="B82" s="160" t="s">
        <v>296</v>
      </c>
      <c r="C82" s="161">
        <v>6</v>
      </c>
      <c r="D82" s="162">
        <v>24000</v>
      </c>
      <c r="E82" s="161"/>
      <c r="F82" s="162"/>
      <c r="G82" s="161">
        <v>6</v>
      </c>
      <c r="H82" s="162">
        <v>24000</v>
      </c>
      <c r="I82" s="161">
        <v>6</v>
      </c>
      <c r="J82" s="162">
        <v>24000</v>
      </c>
      <c r="K82" s="161">
        <v>6</v>
      </c>
      <c r="L82" s="162">
        <v>24000</v>
      </c>
      <c r="M82" s="163">
        <f t="shared" ref="M82:M109" si="2">+D82+F82+H82+J82+L82</f>
        <v>96000</v>
      </c>
      <c r="N82" s="164"/>
      <c r="O82" s="108"/>
      <c r="P82" s="108"/>
      <c r="Q82" s="108"/>
      <c r="R82" s="119"/>
    </row>
    <row r="83" spans="1:18" ht="28.5">
      <c r="A83" s="159" t="s">
        <v>492</v>
      </c>
      <c r="B83" s="160" t="s">
        <v>296</v>
      </c>
      <c r="C83" s="161">
        <v>6</v>
      </c>
      <c r="D83" s="162">
        <v>180000</v>
      </c>
      <c r="E83" s="161">
        <v>6</v>
      </c>
      <c r="F83" s="162">
        <v>180000</v>
      </c>
      <c r="G83" s="161">
        <v>6</v>
      </c>
      <c r="H83" s="162">
        <v>180000</v>
      </c>
      <c r="I83" s="161">
        <v>5</v>
      </c>
      <c r="J83" s="162">
        <v>150000</v>
      </c>
      <c r="K83" s="161">
        <v>5</v>
      </c>
      <c r="L83" s="162">
        <v>150000</v>
      </c>
      <c r="M83" s="163">
        <f t="shared" si="2"/>
        <v>840000</v>
      </c>
      <c r="N83" s="164"/>
      <c r="O83" s="108"/>
      <c r="P83" s="108"/>
      <c r="Q83" s="108"/>
      <c r="R83" s="119"/>
    </row>
    <row r="84" spans="1:18" ht="42.75">
      <c r="A84" s="159" t="s">
        <v>493</v>
      </c>
      <c r="B84" s="160" t="s">
        <v>296</v>
      </c>
      <c r="C84" s="161"/>
      <c r="D84" s="162"/>
      <c r="E84" s="161">
        <v>2</v>
      </c>
      <c r="F84" s="162">
        <v>30000</v>
      </c>
      <c r="G84" s="161"/>
      <c r="H84" s="162"/>
      <c r="I84" s="161">
        <v>2</v>
      </c>
      <c r="J84" s="162">
        <v>30000</v>
      </c>
      <c r="K84" s="161"/>
      <c r="L84" s="162"/>
      <c r="M84" s="163">
        <f t="shared" si="2"/>
        <v>60000</v>
      </c>
      <c r="N84" s="164"/>
      <c r="O84" s="108"/>
      <c r="P84" s="108"/>
      <c r="Q84" s="108"/>
      <c r="R84" s="119"/>
    </row>
    <row r="85" spans="1:18" ht="42.75">
      <c r="A85" s="159" t="s">
        <v>494</v>
      </c>
      <c r="B85" s="160" t="s">
        <v>296</v>
      </c>
      <c r="C85" s="161">
        <v>1</v>
      </c>
      <c r="D85" s="162"/>
      <c r="E85" s="161"/>
      <c r="F85" s="162">
        <v>100000</v>
      </c>
      <c r="G85" s="161"/>
      <c r="H85" s="162">
        <v>75000</v>
      </c>
      <c r="I85" s="161"/>
      <c r="J85" s="162"/>
      <c r="K85" s="161"/>
      <c r="L85" s="162"/>
      <c r="M85" s="163">
        <f t="shared" si="2"/>
        <v>175000</v>
      </c>
      <c r="N85" s="164"/>
      <c r="O85" s="108"/>
      <c r="P85" s="108"/>
      <c r="Q85" s="108"/>
      <c r="R85" s="119"/>
    </row>
    <row r="86" spans="1:18" ht="28.5">
      <c r="A86" s="159" t="s">
        <v>495</v>
      </c>
      <c r="B86" s="160" t="s">
        <v>297</v>
      </c>
      <c r="C86" s="161"/>
      <c r="D86" s="162">
        <v>30000</v>
      </c>
      <c r="E86" s="161"/>
      <c r="F86" s="162"/>
      <c r="G86" s="161"/>
      <c r="H86" s="162"/>
      <c r="I86" s="161"/>
      <c r="J86" s="162"/>
      <c r="K86" s="161"/>
      <c r="L86" s="162"/>
      <c r="M86" s="163">
        <f t="shared" si="2"/>
        <v>30000</v>
      </c>
      <c r="N86" s="164"/>
      <c r="O86" s="108"/>
      <c r="P86" s="108"/>
      <c r="Q86" s="108"/>
      <c r="R86" s="119"/>
    </row>
    <row r="87" spans="1:18" ht="28.5">
      <c r="A87" s="159" t="s">
        <v>496</v>
      </c>
      <c r="B87" s="160" t="s">
        <v>296</v>
      </c>
      <c r="C87" s="161"/>
      <c r="D87" s="162">
        <v>23000</v>
      </c>
      <c r="E87" s="161"/>
      <c r="F87" s="162"/>
      <c r="G87" s="161"/>
      <c r="H87" s="162">
        <v>10000</v>
      </c>
      <c r="I87" s="161"/>
      <c r="J87" s="162"/>
      <c r="K87" s="161"/>
      <c r="L87" s="162">
        <v>13500</v>
      </c>
      <c r="M87" s="163">
        <f t="shared" si="2"/>
        <v>46500</v>
      </c>
      <c r="N87" s="164"/>
      <c r="O87" s="108"/>
      <c r="P87" s="108"/>
      <c r="Q87" s="108"/>
      <c r="R87" s="119"/>
    </row>
    <row r="88" spans="1:18" ht="42.75">
      <c r="A88" s="159" t="s">
        <v>497</v>
      </c>
      <c r="B88" s="160" t="s">
        <v>295</v>
      </c>
      <c r="C88" s="161"/>
      <c r="D88" s="162">
        <v>15000</v>
      </c>
      <c r="E88" s="161"/>
      <c r="F88" s="162"/>
      <c r="G88" s="161"/>
      <c r="H88" s="162">
        <v>5000</v>
      </c>
      <c r="I88" s="161"/>
      <c r="J88" s="162"/>
      <c r="K88" s="161"/>
      <c r="L88" s="162">
        <v>1000</v>
      </c>
      <c r="M88" s="163">
        <f t="shared" si="2"/>
        <v>21000</v>
      </c>
      <c r="N88" s="164"/>
      <c r="O88" s="108"/>
      <c r="P88" s="108"/>
      <c r="Q88" s="108"/>
      <c r="R88" s="119"/>
    </row>
    <row r="89" spans="1:18" ht="42.75">
      <c r="A89" s="159" t="s">
        <v>498</v>
      </c>
      <c r="B89" s="160" t="s">
        <v>295</v>
      </c>
      <c r="C89" s="161"/>
      <c r="D89" s="162">
        <v>25000</v>
      </c>
      <c r="E89" s="161"/>
      <c r="F89" s="162">
        <v>50000</v>
      </c>
      <c r="G89" s="161"/>
      <c r="H89" s="162"/>
      <c r="I89" s="161"/>
      <c r="J89" s="162">
        <v>50000</v>
      </c>
      <c r="K89" s="161"/>
      <c r="L89" s="162"/>
      <c r="M89" s="163">
        <f t="shared" si="2"/>
        <v>125000</v>
      </c>
      <c r="N89" s="164"/>
      <c r="O89" s="108"/>
      <c r="P89" s="108"/>
      <c r="Q89" s="108"/>
      <c r="R89" s="119"/>
    </row>
    <row r="90" spans="1:18" ht="28.5">
      <c r="A90" s="159" t="s">
        <v>499</v>
      </c>
      <c r="B90" s="160" t="s">
        <v>296</v>
      </c>
      <c r="C90" s="161"/>
      <c r="D90" s="162">
        <v>25000</v>
      </c>
      <c r="E90" s="161"/>
      <c r="F90" s="162">
        <v>35000</v>
      </c>
      <c r="G90" s="161"/>
      <c r="H90" s="162">
        <v>35000</v>
      </c>
      <c r="I90" s="161"/>
      <c r="J90" s="162">
        <v>35000</v>
      </c>
      <c r="K90" s="161"/>
      <c r="L90" s="162">
        <v>45000</v>
      </c>
      <c r="M90" s="163">
        <f t="shared" si="2"/>
        <v>175000</v>
      </c>
      <c r="N90" s="164"/>
      <c r="O90" s="108"/>
      <c r="P90" s="108"/>
      <c r="Q90" s="108"/>
      <c r="R90" s="119"/>
    </row>
    <row r="91" spans="1:18" ht="28.5">
      <c r="A91" s="159" t="s">
        <v>500</v>
      </c>
      <c r="B91" s="160" t="s">
        <v>296</v>
      </c>
      <c r="C91" s="161"/>
      <c r="D91" s="162">
        <v>60000</v>
      </c>
      <c r="E91" s="161"/>
      <c r="F91" s="162"/>
      <c r="G91" s="161"/>
      <c r="H91" s="162">
        <v>40000</v>
      </c>
      <c r="I91" s="161"/>
      <c r="J91" s="162"/>
      <c r="K91" s="161"/>
      <c r="L91" s="162">
        <v>40000</v>
      </c>
      <c r="M91" s="163">
        <f t="shared" si="2"/>
        <v>140000</v>
      </c>
      <c r="N91" s="164"/>
      <c r="O91" s="108"/>
      <c r="P91" s="108"/>
      <c r="Q91" s="108"/>
      <c r="R91" s="119"/>
    </row>
    <row r="92" spans="1:18" ht="28.5">
      <c r="A92" s="159" t="s">
        <v>501</v>
      </c>
      <c r="B92" s="160" t="s">
        <v>296</v>
      </c>
      <c r="C92" s="161">
        <v>3</v>
      </c>
      <c r="D92" s="162">
        <v>30000</v>
      </c>
      <c r="E92" s="161">
        <v>3</v>
      </c>
      <c r="F92" s="162">
        <v>30000</v>
      </c>
      <c r="G92" s="161">
        <v>2</v>
      </c>
      <c r="H92" s="162">
        <v>20000</v>
      </c>
      <c r="I92" s="161">
        <v>1</v>
      </c>
      <c r="J92" s="162">
        <v>10000</v>
      </c>
      <c r="K92" s="161">
        <v>1</v>
      </c>
      <c r="L92" s="162">
        <v>10000</v>
      </c>
      <c r="M92" s="163">
        <f t="shared" si="2"/>
        <v>100000</v>
      </c>
      <c r="N92" s="164"/>
      <c r="O92" s="576"/>
      <c r="P92" s="576"/>
      <c r="Q92" s="576"/>
      <c r="R92" s="119"/>
    </row>
    <row r="93" spans="1:18" ht="28.5">
      <c r="A93" s="159" t="s">
        <v>502</v>
      </c>
      <c r="B93" s="160" t="s">
        <v>297</v>
      </c>
      <c r="C93" s="161"/>
      <c r="D93" s="162">
        <v>25000</v>
      </c>
      <c r="E93" s="161"/>
      <c r="F93" s="162">
        <v>25000</v>
      </c>
      <c r="G93" s="161"/>
      <c r="H93" s="162">
        <v>25000</v>
      </c>
      <c r="I93" s="161"/>
      <c r="J93" s="162">
        <v>25000</v>
      </c>
      <c r="K93" s="161"/>
      <c r="L93" s="162">
        <v>25000</v>
      </c>
      <c r="M93" s="163">
        <f t="shared" si="2"/>
        <v>125000</v>
      </c>
      <c r="N93" s="164"/>
      <c r="O93" s="576"/>
      <c r="P93" s="576"/>
      <c r="Q93" s="576"/>
      <c r="R93" s="119"/>
    </row>
    <row r="94" spans="1:18" ht="42.75">
      <c r="A94" s="159" t="s">
        <v>503</v>
      </c>
      <c r="B94" s="160" t="s">
        <v>297</v>
      </c>
      <c r="C94" s="161"/>
      <c r="D94" s="162">
        <v>14000</v>
      </c>
      <c r="E94" s="161"/>
      <c r="F94" s="162">
        <v>13000</v>
      </c>
      <c r="G94" s="161"/>
      <c r="H94" s="162">
        <v>5000</v>
      </c>
      <c r="I94" s="161"/>
      <c r="J94" s="162">
        <v>5000</v>
      </c>
      <c r="K94" s="161"/>
      <c r="L94" s="162">
        <v>6000</v>
      </c>
      <c r="M94" s="163">
        <f t="shared" si="2"/>
        <v>43000</v>
      </c>
      <c r="N94" s="164"/>
      <c r="O94" s="576"/>
      <c r="P94" s="576"/>
      <c r="Q94" s="576"/>
      <c r="R94" s="119"/>
    </row>
    <row r="95" spans="1:18" ht="42.75">
      <c r="A95" s="159" t="s">
        <v>504</v>
      </c>
      <c r="B95" s="160" t="s">
        <v>297</v>
      </c>
      <c r="C95" s="161"/>
      <c r="D95" s="162">
        <v>50000</v>
      </c>
      <c r="E95" s="161"/>
      <c r="F95" s="162"/>
      <c r="G95" s="161"/>
      <c r="H95" s="162"/>
      <c r="I95" s="161"/>
      <c r="J95" s="162"/>
      <c r="K95" s="161"/>
      <c r="L95" s="162"/>
      <c r="M95" s="163">
        <f t="shared" si="2"/>
        <v>50000</v>
      </c>
      <c r="N95" s="164"/>
      <c r="O95" s="576"/>
      <c r="P95" s="576"/>
      <c r="Q95" s="576"/>
      <c r="R95" s="119"/>
    </row>
    <row r="96" spans="1:18" ht="57">
      <c r="A96" s="159" t="s">
        <v>505</v>
      </c>
      <c r="B96" s="160" t="s">
        <v>297</v>
      </c>
      <c r="C96" s="161"/>
      <c r="D96" s="162">
        <v>15000</v>
      </c>
      <c r="E96" s="161"/>
      <c r="F96" s="162">
        <v>15000</v>
      </c>
      <c r="G96" s="161"/>
      <c r="H96" s="162"/>
      <c r="I96" s="161"/>
      <c r="J96" s="162"/>
      <c r="K96" s="161"/>
      <c r="L96" s="162"/>
      <c r="M96" s="163">
        <f t="shared" si="2"/>
        <v>30000</v>
      </c>
      <c r="N96" s="164"/>
      <c r="O96" s="576"/>
      <c r="P96" s="576"/>
      <c r="Q96" s="576"/>
      <c r="R96" s="119"/>
    </row>
    <row r="97" spans="1:18" ht="28.5">
      <c r="A97" s="159" t="s">
        <v>506</v>
      </c>
      <c r="B97" s="160" t="s">
        <v>297</v>
      </c>
      <c r="C97" s="161"/>
      <c r="D97" s="162">
        <v>132500</v>
      </c>
      <c r="E97" s="161"/>
      <c r="F97" s="162">
        <v>50000</v>
      </c>
      <c r="G97" s="161"/>
      <c r="H97" s="162">
        <v>5000</v>
      </c>
      <c r="I97" s="161"/>
      <c r="J97" s="162">
        <v>5000</v>
      </c>
      <c r="K97" s="161"/>
      <c r="L97" s="162">
        <v>5000</v>
      </c>
      <c r="M97" s="163">
        <f t="shared" si="2"/>
        <v>197500</v>
      </c>
      <c r="N97" s="164"/>
      <c r="O97" s="576"/>
      <c r="P97" s="576"/>
      <c r="Q97" s="576"/>
      <c r="R97" s="119"/>
    </row>
    <row r="98" spans="1:18" ht="28.5">
      <c r="A98" s="159" t="s">
        <v>507</v>
      </c>
      <c r="B98" s="160" t="s">
        <v>297</v>
      </c>
      <c r="C98" s="161"/>
      <c r="D98" s="162">
        <v>40000</v>
      </c>
      <c r="E98" s="161"/>
      <c r="F98" s="162"/>
      <c r="G98" s="161"/>
      <c r="H98" s="162"/>
      <c r="I98" s="161"/>
      <c r="J98" s="162"/>
      <c r="K98" s="161"/>
      <c r="L98" s="162"/>
      <c r="M98" s="163">
        <f t="shared" si="2"/>
        <v>40000</v>
      </c>
      <c r="N98" s="164"/>
      <c r="O98" s="576"/>
      <c r="P98" s="576"/>
      <c r="Q98" s="576"/>
      <c r="R98" s="119"/>
    </row>
    <row r="99" spans="1:18" ht="28.5">
      <c r="A99" s="159" t="s">
        <v>508</v>
      </c>
      <c r="B99" s="160" t="s">
        <v>297</v>
      </c>
      <c r="C99" s="161"/>
      <c r="D99" s="162">
        <v>10000</v>
      </c>
      <c r="E99" s="161"/>
      <c r="F99" s="162">
        <v>10000</v>
      </c>
      <c r="G99" s="161"/>
      <c r="H99" s="162">
        <v>10000</v>
      </c>
      <c r="I99" s="161"/>
      <c r="J99" s="162">
        <v>10000</v>
      </c>
      <c r="K99" s="161"/>
      <c r="L99" s="162">
        <v>10000</v>
      </c>
      <c r="M99" s="163">
        <f t="shared" si="2"/>
        <v>50000</v>
      </c>
      <c r="N99" s="165"/>
      <c r="O99" s="576"/>
      <c r="P99" s="576"/>
      <c r="Q99" s="576"/>
      <c r="R99" s="119"/>
    </row>
    <row r="100" spans="1:18" ht="28.5">
      <c r="A100" s="159" t="s">
        <v>509</v>
      </c>
      <c r="B100" s="160" t="s">
        <v>296</v>
      </c>
      <c r="C100" s="161">
        <v>2</v>
      </c>
      <c r="D100" s="162">
        <v>50000</v>
      </c>
      <c r="E100" s="161">
        <v>2</v>
      </c>
      <c r="F100" s="162">
        <v>50000</v>
      </c>
      <c r="G100" s="161">
        <v>2</v>
      </c>
      <c r="H100" s="162">
        <v>55000</v>
      </c>
      <c r="I100" s="161">
        <v>2</v>
      </c>
      <c r="J100" s="162">
        <v>55000</v>
      </c>
      <c r="K100" s="161">
        <v>2</v>
      </c>
      <c r="L100" s="162">
        <v>55000</v>
      </c>
      <c r="M100" s="163">
        <f t="shared" si="2"/>
        <v>265000</v>
      </c>
      <c r="N100" s="165"/>
      <c r="O100" s="576"/>
      <c r="P100" s="576"/>
      <c r="Q100" s="576"/>
      <c r="R100" s="119"/>
    </row>
    <row r="101" spans="1:18" ht="28.5">
      <c r="A101" s="159" t="s">
        <v>510</v>
      </c>
      <c r="B101" s="160" t="s">
        <v>296</v>
      </c>
      <c r="C101" s="161">
        <v>1</v>
      </c>
      <c r="D101" s="162">
        <v>20000</v>
      </c>
      <c r="E101" s="161">
        <v>1</v>
      </c>
      <c r="F101" s="162">
        <v>20000</v>
      </c>
      <c r="G101" s="161">
        <v>1</v>
      </c>
      <c r="H101" s="162">
        <v>20000</v>
      </c>
      <c r="I101" s="161">
        <v>1</v>
      </c>
      <c r="J101" s="162">
        <v>20000</v>
      </c>
      <c r="K101" s="161">
        <v>1</v>
      </c>
      <c r="L101" s="162">
        <v>20000</v>
      </c>
      <c r="M101" s="163">
        <f t="shared" si="2"/>
        <v>100000</v>
      </c>
      <c r="N101" s="165"/>
      <c r="O101" s="576"/>
      <c r="P101" s="576"/>
      <c r="Q101" s="576"/>
      <c r="R101" s="119"/>
    </row>
    <row r="102" spans="1:18" ht="42.75">
      <c r="A102" s="159" t="s">
        <v>511</v>
      </c>
      <c r="B102" s="160" t="s">
        <v>296</v>
      </c>
      <c r="C102" s="161"/>
      <c r="D102" s="162">
        <v>10000</v>
      </c>
      <c r="E102" s="161"/>
      <c r="F102" s="162">
        <v>10000</v>
      </c>
      <c r="G102" s="161"/>
      <c r="H102" s="162">
        <v>5000</v>
      </c>
      <c r="I102" s="161"/>
      <c r="J102" s="162">
        <v>10000</v>
      </c>
      <c r="K102" s="161"/>
      <c r="L102" s="162">
        <v>5000</v>
      </c>
      <c r="M102" s="163">
        <f t="shared" si="2"/>
        <v>40000</v>
      </c>
      <c r="N102" s="165"/>
      <c r="O102" s="576"/>
      <c r="P102" s="576"/>
      <c r="Q102" s="576"/>
      <c r="R102" s="119"/>
    </row>
    <row r="103" spans="1:18" ht="42.75">
      <c r="A103" s="159" t="s">
        <v>512</v>
      </c>
      <c r="B103" s="160" t="s">
        <v>296</v>
      </c>
      <c r="C103" s="161"/>
      <c r="D103" s="162"/>
      <c r="E103" s="161"/>
      <c r="F103" s="162">
        <v>50000</v>
      </c>
      <c r="G103" s="161"/>
      <c r="H103" s="162"/>
      <c r="I103" s="161"/>
      <c r="J103" s="162"/>
      <c r="K103" s="161"/>
      <c r="L103" s="162"/>
      <c r="M103" s="163">
        <f t="shared" si="2"/>
        <v>50000</v>
      </c>
      <c r="O103" s="576"/>
      <c r="P103" s="576"/>
      <c r="Q103" s="576"/>
      <c r="R103" s="119"/>
    </row>
    <row r="104" spans="1:18" ht="42.75">
      <c r="A104" s="159" t="s">
        <v>513</v>
      </c>
      <c r="B104" s="160" t="s">
        <v>299</v>
      </c>
      <c r="C104" s="161"/>
      <c r="D104" s="162">
        <v>30000</v>
      </c>
      <c r="E104" s="161"/>
      <c r="F104" s="162"/>
      <c r="G104" s="161"/>
      <c r="H104" s="162"/>
      <c r="I104" s="161"/>
      <c r="J104" s="162"/>
      <c r="K104" s="161"/>
      <c r="L104" s="162"/>
      <c r="M104" s="163">
        <f t="shared" si="2"/>
        <v>30000</v>
      </c>
      <c r="O104" s="576"/>
      <c r="P104" s="576"/>
      <c r="Q104" s="576"/>
      <c r="R104" s="119"/>
    </row>
    <row r="105" spans="1:18" ht="15">
      <c r="A105" s="159" t="s">
        <v>481</v>
      </c>
      <c r="B105" s="160" t="s">
        <v>297</v>
      </c>
      <c r="C105" s="161"/>
      <c r="D105" s="162">
        <v>50000</v>
      </c>
      <c r="E105" s="161"/>
      <c r="F105" s="162"/>
      <c r="G105" s="161"/>
      <c r="H105" s="162">
        <v>50000</v>
      </c>
      <c r="I105" s="161"/>
      <c r="J105" s="162"/>
      <c r="K105" s="161"/>
      <c r="L105" s="162">
        <v>50000</v>
      </c>
      <c r="M105" s="163">
        <f t="shared" si="2"/>
        <v>150000</v>
      </c>
      <c r="O105" s="576"/>
      <c r="P105" s="576"/>
      <c r="Q105" s="576"/>
      <c r="R105" s="119"/>
    </row>
    <row r="106" spans="1:18" ht="15">
      <c r="A106" s="159" t="s">
        <v>514</v>
      </c>
      <c r="B106" s="160" t="s">
        <v>296</v>
      </c>
      <c r="C106" s="161"/>
      <c r="D106" s="162">
        <v>10000</v>
      </c>
      <c r="E106" s="161"/>
      <c r="F106" s="162">
        <v>10000</v>
      </c>
      <c r="G106" s="161"/>
      <c r="H106" s="162">
        <v>10000</v>
      </c>
      <c r="I106" s="161"/>
      <c r="J106" s="162">
        <v>10000</v>
      </c>
      <c r="K106" s="161"/>
      <c r="L106" s="162">
        <v>10000</v>
      </c>
      <c r="M106" s="163">
        <f t="shared" si="2"/>
        <v>50000</v>
      </c>
      <c r="O106" s="576"/>
      <c r="P106" s="576"/>
      <c r="Q106" s="576"/>
      <c r="R106" s="119"/>
    </row>
    <row r="107" spans="1:18" ht="28.5">
      <c r="A107" s="159" t="s">
        <v>515</v>
      </c>
      <c r="B107" s="160" t="s">
        <v>298</v>
      </c>
      <c r="C107" s="161"/>
      <c r="D107" s="162"/>
      <c r="E107" s="161"/>
      <c r="F107" s="162"/>
      <c r="G107" s="161"/>
      <c r="H107" s="162"/>
      <c r="I107" s="161"/>
      <c r="J107" s="162">
        <v>200000</v>
      </c>
      <c r="K107" s="161"/>
      <c r="L107" s="162"/>
      <c r="M107" s="163">
        <f t="shared" si="2"/>
        <v>200000</v>
      </c>
      <c r="O107" s="576"/>
      <c r="P107" s="576"/>
      <c r="Q107" s="576"/>
      <c r="R107" s="119"/>
    </row>
    <row r="108" spans="1:18" ht="28.5">
      <c r="A108" s="159" t="s">
        <v>516</v>
      </c>
      <c r="B108" s="160" t="s">
        <v>296</v>
      </c>
      <c r="C108" s="161"/>
      <c r="D108" s="162">
        <v>6000</v>
      </c>
      <c r="E108" s="161"/>
      <c r="F108" s="162">
        <v>5000</v>
      </c>
      <c r="G108" s="161"/>
      <c r="H108" s="162">
        <v>5000</v>
      </c>
      <c r="I108" s="161"/>
      <c r="J108" s="162">
        <v>5000</v>
      </c>
      <c r="K108" s="161"/>
      <c r="L108" s="162">
        <v>5000</v>
      </c>
      <c r="M108" s="163">
        <f t="shared" si="2"/>
        <v>26000</v>
      </c>
      <c r="N108" s="571"/>
      <c r="O108" s="576"/>
      <c r="P108" s="576"/>
      <c r="Q108" s="576"/>
      <c r="R108" s="119"/>
    </row>
    <row r="109" spans="1:18" ht="43.5" thickBot="1">
      <c r="A109" s="166" t="s">
        <v>517</v>
      </c>
      <c r="B109" s="167" t="s">
        <v>296</v>
      </c>
      <c r="C109" s="168"/>
      <c r="D109" s="169">
        <v>20000</v>
      </c>
      <c r="E109" s="168"/>
      <c r="F109" s="169">
        <v>20000</v>
      </c>
      <c r="G109" s="168"/>
      <c r="H109" s="169">
        <v>20000</v>
      </c>
      <c r="I109" s="168"/>
      <c r="J109" s="169">
        <v>25000</v>
      </c>
      <c r="K109" s="168"/>
      <c r="L109" s="169">
        <v>25000</v>
      </c>
      <c r="M109" s="163">
        <f t="shared" si="2"/>
        <v>110000</v>
      </c>
      <c r="N109" s="571"/>
      <c r="O109" s="576"/>
      <c r="P109" s="576"/>
      <c r="Q109" s="576"/>
      <c r="R109" s="119"/>
    </row>
    <row r="110" spans="1:18" ht="17.25" customHeight="1" thickBot="1">
      <c r="A110" s="174" t="s">
        <v>520</v>
      </c>
      <c r="B110" s="115"/>
      <c r="C110" s="1191">
        <f>+SUM(D80:D109)</f>
        <v>1104500</v>
      </c>
      <c r="D110" s="1192"/>
      <c r="E110" s="1191">
        <f>+SUM(F80:F109)</f>
        <v>989000</v>
      </c>
      <c r="F110" s="1192"/>
      <c r="G110" s="1191">
        <f>+SUM(H80:H109)</f>
        <v>885000</v>
      </c>
      <c r="H110" s="1192"/>
      <c r="I110" s="1191">
        <f>+SUM(J80:J109)</f>
        <v>917000</v>
      </c>
      <c r="J110" s="1192"/>
      <c r="K110" s="1191">
        <f>+SUM(L80:L109)</f>
        <v>674500</v>
      </c>
      <c r="L110" s="1192"/>
      <c r="M110" s="572">
        <f>+SUM(B110:L110)</f>
        <v>4570000</v>
      </c>
      <c r="N110" s="576"/>
      <c r="O110" s="577">
        <f>+M110/N72-1</f>
        <v>-0.24412834932186567</v>
      </c>
      <c r="P110" s="576"/>
      <c r="Q110" s="576"/>
    </row>
    <row r="111" spans="1:18" ht="17.25" customHeight="1">
      <c r="A111" s="551" t="s">
        <v>521</v>
      </c>
      <c r="B111" s="552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573"/>
      <c r="N111" s="576"/>
      <c r="O111" s="576"/>
      <c r="P111" s="576"/>
      <c r="Q111" s="576"/>
    </row>
    <row r="112" spans="1:18" ht="17.25" customHeight="1">
      <c r="A112" s="150" t="s">
        <v>477</v>
      </c>
      <c r="B112" s="150"/>
      <c r="C112" s="150"/>
      <c r="D112" s="157">
        <v>25000</v>
      </c>
      <c r="E112" s="150"/>
      <c r="F112" s="157">
        <v>25000</v>
      </c>
      <c r="G112" s="150"/>
      <c r="H112" s="157">
        <v>25000</v>
      </c>
      <c r="I112" s="150"/>
      <c r="J112" s="157">
        <v>25000</v>
      </c>
      <c r="K112" s="150"/>
      <c r="L112" s="157">
        <v>25000</v>
      </c>
      <c r="M112" s="574">
        <f>+D112+F112+H112+J112+L112</f>
        <v>125000</v>
      </c>
      <c r="N112" s="576"/>
      <c r="O112" s="576"/>
      <c r="P112" s="576"/>
      <c r="Q112" s="576"/>
    </row>
    <row r="113" spans="1:18" ht="17.25" customHeight="1">
      <c r="A113" s="150" t="s">
        <v>478</v>
      </c>
      <c r="B113" s="150"/>
      <c r="C113" s="150"/>
      <c r="D113" s="157">
        <v>14000</v>
      </c>
      <c r="E113" s="150"/>
      <c r="F113" s="157">
        <v>13000</v>
      </c>
      <c r="G113" s="150"/>
      <c r="H113" s="157">
        <v>5000</v>
      </c>
      <c r="I113" s="150"/>
      <c r="J113" s="157">
        <v>5000</v>
      </c>
      <c r="K113" s="150"/>
      <c r="L113" s="157">
        <v>6000</v>
      </c>
      <c r="M113" s="574">
        <f t="shared" ref="M113:M119" si="3">+D113+F113+H113+J113+L113</f>
        <v>43000</v>
      </c>
      <c r="N113" s="576"/>
      <c r="O113" s="576"/>
      <c r="P113" s="576"/>
      <c r="Q113" s="576"/>
    </row>
    <row r="114" spans="1:18" ht="17.25" customHeight="1">
      <c r="A114" s="150" t="s">
        <v>479</v>
      </c>
      <c r="B114" s="150"/>
      <c r="C114" s="150"/>
      <c r="D114" s="157">
        <v>132500</v>
      </c>
      <c r="E114" s="150"/>
      <c r="F114" s="157">
        <v>50000</v>
      </c>
      <c r="G114" s="150"/>
      <c r="H114" s="157">
        <v>5000</v>
      </c>
      <c r="I114" s="150"/>
      <c r="J114" s="157">
        <v>5000</v>
      </c>
      <c r="K114" s="150"/>
      <c r="L114" s="157">
        <v>5000</v>
      </c>
      <c r="M114" s="574">
        <f t="shared" si="3"/>
        <v>197500</v>
      </c>
      <c r="N114" s="576"/>
      <c r="O114" s="576"/>
      <c r="P114" s="576"/>
      <c r="Q114" s="576"/>
    </row>
    <row r="115" spans="1:18" ht="17.25" customHeight="1">
      <c r="A115" s="150" t="s">
        <v>480</v>
      </c>
      <c r="B115" s="150"/>
      <c r="C115" s="150"/>
      <c r="D115" s="157">
        <v>10000</v>
      </c>
      <c r="E115" s="150"/>
      <c r="F115" s="157">
        <v>10000</v>
      </c>
      <c r="G115" s="150"/>
      <c r="H115" s="157">
        <v>10000</v>
      </c>
      <c r="I115" s="150"/>
      <c r="J115" s="157">
        <v>10000</v>
      </c>
      <c r="K115" s="150"/>
      <c r="L115" s="157">
        <v>10000</v>
      </c>
      <c r="M115" s="574">
        <f t="shared" si="3"/>
        <v>50000</v>
      </c>
      <c r="N115" s="576"/>
      <c r="O115" s="576"/>
      <c r="P115" s="576"/>
      <c r="Q115" s="576"/>
    </row>
    <row r="116" spans="1:18" ht="17.25" customHeight="1">
      <c r="A116" s="150" t="s">
        <v>481</v>
      </c>
      <c r="B116" s="150"/>
      <c r="C116" s="150"/>
      <c r="D116" s="157">
        <v>50000</v>
      </c>
      <c r="E116" s="150"/>
      <c r="F116" s="157"/>
      <c r="G116" s="150"/>
      <c r="H116" s="157">
        <v>50000</v>
      </c>
      <c r="I116" s="150"/>
      <c r="J116" s="157"/>
      <c r="K116" s="150"/>
      <c r="L116" s="157">
        <v>50000</v>
      </c>
      <c r="M116" s="574">
        <f t="shared" si="3"/>
        <v>150000</v>
      </c>
      <c r="N116" s="576"/>
      <c r="O116" s="576"/>
      <c r="P116" s="576"/>
      <c r="Q116" s="576"/>
    </row>
    <row r="117" spans="1:18" ht="17.25" customHeight="1">
      <c r="A117" s="150" t="s">
        <v>482</v>
      </c>
      <c r="B117" s="150"/>
      <c r="C117" s="150"/>
      <c r="D117" s="157">
        <v>10000</v>
      </c>
      <c r="E117" s="150"/>
      <c r="F117" s="157">
        <v>10000</v>
      </c>
      <c r="G117" s="150"/>
      <c r="H117" s="157">
        <v>10000</v>
      </c>
      <c r="I117" s="150"/>
      <c r="J117" s="157">
        <v>10000</v>
      </c>
      <c r="K117" s="150"/>
      <c r="L117" s="157">
        <v>10000</v>
      </c>
      <c r="M117" s="574">
        <f t="shared" si="3"/>
        <v>50000</v>
      </c>
      <c r="N117" s="576"/>
      <c r="O117" s="576"/>
      <c r="P117" s="576"/>
      <c r="Q117" s="576"/>
    </row>
    <row r="118" spans="1:18" ht="17.25" customHeight="1">
      <c r="A118" s="150" t="s">
        <v>483</v>
      </c>
      <c r="B118" s="150"/>
      <c r="C118" s="150"/>
      <c r="D118" s="157"/>
      <c r="E118" s="150"/>
      <c r="F118" s="157"/>
      <c r="G118" s="150"/>
      <c r="H118" s="157"/>
      <c r="I118" s="150"/>
      <c r="J118" s="157">
        <v>200000</v>
      </c>
      <c r="K118" s="150"/>
      <c r="L118" s="157"/>
      <c r="M118" s="574">
        <f t="shared" si="3"/>
        <v>200000</v>
      </c>
      <c r="N118" s="576"/>
      <c r="O118" s="576"/>
      <c r="P118" s="576"/>
      <c r="Q118" s="576"/>
    </row>
    <row r="119" spans="1:18" ht="17.25" customHeight="1">
      <c r="A119" s="150" t="s">
        <v>484</v>
      </c>
      <c r="B119" s="150"/>
      <c r="C119" s="150"/>
      <c r="D119" s="157">
        <v>20000</v>
      </c>
      <c r="E119" s="150"/>
      <c r="F119" s="157">
        <v>20000</v>
      </c>
      <c r="G119" s="150"/>
      <c r="H119" s="157">
        <v>20000</v>
      </c>
      <c r="I119" s="150"/>
      <c r="J119" s="157">
        <v>20000</v>
      </c>
      <c r="K119" s="150"/>
      <c r="L119" s="157">
        <v>20000</v>
      </c>
      <c r="M119" s="574">
        <f t="shared" si="3"/>
        <v>100000</v>
      </c>
      <c r="N119" s="576"/>
      <c r="O119" s="576"/>
      <c r="P119" s="576"/>
      <c r="Q119" s="576"/>
    </row>
    <row r="120" spans="1:18" ht="17.25" customHeight="1">
      <c r="A120" s="131" t="s">
        <v>485</v>
      </c>
      <c r="B120" s="150"/>
      <c r="C120" s="150"/>
      <c r="D120" s="144">
        <f>+SUM(D112:D119)</f>
        <v>261500</v>
      </c>
      <c r="E120" s="150"/>
      <c r="F120" s="144">
        <f>+SUM(F112:F119)</f>
        <v>128000</v>
      </c>
      <c r="G120" s="150"/>
      <c r="H120" s="144">
        <f>+SUM(H112:H119)</f>
        <v>125000</v>
      </c>
      <c r="I120" s="150"/>
      <c r="J120" s="144">
        <f>+SUM(J112:J119)</f>
        <v>275000</v>
      </c>
      <c r="K120" s="150"/>
      <c r="L120" s="144">
        <f>+SUM(L112:L119)</f>
        <v>126000</v>
      </c>
      <c r="M120" s="571">
        <f>+SUM(M112:M119)</f>
        <v>915500</v>
      </c>
      <c r="N120" s="576"/>
      <c r="O120" s="576"/>
      <c r="P120" s="576"/>
      <c r="Q120" s="576"/>
    </row>
    <row r="121" spans="1:18" ht="17.25" customHeight="1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573"/>
      <c r="N121" s="576"/>
      <c r="O121" s="576"/>
      <c r="P121" s="576"/>
      <c r="Q121" s="576"/>
    </row>
    <row r="122" spans="1:18" ht="17.25" customHeight="1">
      <c r="A122" s="153" t="s">
        <v>522</v>
      </c>
      <c r="B122" s="154"/>
      <c r="C122" s="154"/>
      <c r="D122" s="175">
        <f>+C110-D120</f>
        <v>843000</v>
      </c>
      <c r="E122" s="154"/>
      <c r="F122" s="175">
        <f>+E110-F120</f>
        <v>861000</v>
      </c>
      <c r="G122" s="154"/>
      <c r="H122" s="175">
        <f>+G110-H120</f>
        <v>760000</v>
      </c>
      <c r="I122" s="154"/>
      <c r="J122" s="175">
        <f>+I110-J120</f>
        <v>642000</v>
      </c>
      <c r="K122" s="154"/>
      <c r="L122" s="175">
        <f>+K110-L120</f>
        <v>548500</v>
      </c>
      <c r="M122" s="575">
        <f>+M110-M120</f>
        <v>3654500</v>
      </c>
      <c r="N122" s="576"/>
      <c r="O122" s="576"/>
      <c r="P122" s="576"/>
      <c r="Q122" s="576"/>
    </row>
    <row r="123" spans="1:18" ht="17.25" customHeight="1">
      <c r="O123" s="119"/>
      <c r="P123" s="119"/>
      <c r="Q123" s="119"/>
      <c r="R123" s="119"/>
    </row>
    <row r="124" spans="1:18" ht="17.25" customHeight="1">
      <c r="A124" s="117" t="s">
        <v>476</v>
      </c>
      <c r="E124" s="178">
        <f>+D122/D72-1</f>
        <v>-0.2858958068614994</v>
      </c>
      <c r="G124" s="178">
        <f>+F122/F72-1</f>
        <v>-0.30508474576271183</v>
      </c>
      <c r="I124" s="178">
        <f>+H122/H72-1</f>
        <v>-0.41493456505003845</v>
      </c>
      <c r="K124" s="178">
        <f>+J122/J72-1</f>
        <v>-0.50766871165644178</v>
      </c>
      <c r="M124" s="178">
        <f>+L122/L72-1</f>
        <v>-0.46409379579872989</v>
      </c>
      <c r="N124" s="178">
        <f>+M122/N72-1</f>
        <v>-0.39555077737347011</v>
      </c>
      <c r="O124" s="119"/>
      <c r="P124" s="119"/>
      <c r="Q124" s="119"/>
      <c r="R124" s="119"/>
    </row>
    <row r="125" spans="1:18" ht="17.25" customHeight="1">
      <c r="O125" s="119"/>
      <c r="P125" s="119"/>
      <c r="Q125" s="119"/>
      <c r="R125" s="119"/>
    </row>
    <row r="126" spans="1:18" ht="17.25" customHeight="1">
      <c r="M126" s="143"/>
      <c r="N126" s="179"/>
    </row>
    <row r="127" spans="1:18" ht="17.25" customHeight="1"/>
    <row r="128" spans="1:18" ht="17.25" customHeight="1"/>
    <row r="129" ht="17.25" customHeight="1"/>
    <row r="130" ht="17.25" customHeight="1"/>
    <row r="131" ht="17.25" customHeight="1"/>
    <row r="132" ht="17.25" customHeight="1"/>
  </sheetData>
  <sheetProtection password="CC27" sheet="1" formatCells="0" formatColumns="0" formatRows="0" insertColumns="0" insertRows="0" insertHyperlinks="0" deleteColumns="0" deleteRows="0" sort="0" autoFilter="0" pivotTables="0"/>
  <mergeCells count="30">
    <mergeCell ref="A39:M39"/>
    <mergeCell ref="A7:D7"/>
    <mergeCell ref="A17:D17"/>
    <mergeCell ref="F17:I17"/>
    <mergeCell ref="F7:J7"/>
    <mergeCell ref="A38:M38"/>
    <mergeCell ref="A40:M40"/>
    <mergeCell ref="C41:D41"/>
    <mergeCell ref="E41:F41"/>
    <mergeCell ref="G41:H41"/>
    <mergeCell ref="I41:J41"/>
    <mergeCell ref="K41:L41"/>
    <mergeCell ref="L72:M72"/>
    <mergeCell ref="A76:M76"/>
    <mergeCell ref="A77:M77"/>
    <mergeCell ref="A78:M78"/>
    <mergeCell ref="D72:E72"/>
    <mergeCell ref="F72:G72"/>
    <mergeCell ref="H72:I72"/>
    <mergeCell ref="J72:K72"/>
    <mergeCell ref="K79:L79"/>
    <mergeCell ref="C110:D110"/>
    <mergeCell ref="E110:F110"/>
    <mergeCell ref="G110:H110"/>
    <mergeCell ref="I110:J110"/>
    <mergeCell ref="K110:L110"/>
    <mergeCell ref="C79:D79"/>
    <mergeCell ref="E79:F79"/>
    <mergeCell ref="G79:H79"/>
    <mergeCell ref="I79:J79"/>
  </mergeCells>
  <phoneticPr fontId="22" type="noConversion"/>
  <pageMargins left="0.39370078740157483" right="0.39370078740157483" top="0.59055118110236227" bottom="0.59055118110236227" header="0" footer="0"/>
  <pageSetup paperSize="5" scale="90" orientation="landscape" r:id="rId1"/>
  <headerFooter alignWithMargins="0">
    <oddFooter>&amp;CGASTO FUNCIONAMIENTO HIDROMET&amp;R&amp;P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V226"/>
  <sheetViews>
    <sheetView zoomScale="75" workbookViewId="0">
      <selection activeCell="D24" sqref="D24"/>
    </sheetView>
  </sheetViews>
  <sheetFormatPr baseColWidth="10" defaultRowHeight="12.75"/>
  <cols>
    <col min="1" max="1" width="39.7109375" customWidth="1"/>
    <col min="2" max="2" width="17.42578125" customWidth="1"/>
    <col min="3" max="3" width="11.85546875" customWidth="1"/>
    <col min="4" max="4" width="12.7109375" customWidth="1"/>
    <col min="5" max="5" width="12.5703125" customWidth="1"/>
    <col min="6" max="6" width="12.140625" customWidth="1"/>
    <col min="7" max="7" width="13.140625" customWidth="1"/>
    <col min="8" max="8" width="12.28515625" customWidth="1"/>
    <col min="11" max="11" width="12" customWidth="1"/>
    <col min="13" max="13" width="8.42578125" customWidth="1"/>
  </cols>
  <sheetData>
    <row r="2" spans="1:9">
      <c r="A2" s="11" t="s">
        <v>81</v>
      </c>
    </row>
    <row r="3" spans="1:9">
      <c r="A3" s="1" t="s">
        <v>541</v>
      </c>
    </row>
    <row r="5" spans="1:9">
      <c r="A5" s="772" t="s">
        <v>23</v>
      </c>
    </row>
    <row r="6" spans="1:9" s="1" customFormat="1" ht="21" customHeight="1">
      <c r="A6" s="713" t="s">
        <v>755</v>
      </c>
      <c r="B6" s="714" t="s">
        <v>24</v>
      </c>
      <c r="C6" s="746">
        <v>2008</v>
      </c>
      <c r="D6" s="713">
        <f>+C6+1</f>
        <v>2009</v>
      </c>
      <c r="E6" s="716">
        <f>+D6+1</f>
        <v>2010</v>
      </c>
      <c r="F6" s="715">
        <f>+E6+1</f>
        <v>2011</v>
      </c>
      <c r="G6" s="715">
        <f>+F6+1</f>
        <v>2012</v>
      </c>
      <c r="H6" s="716">
        <f>+G6+1</f>
        <v>2013</v>
      </c>
    </row>
    <row r="7" spans="1:9">
      <c r="A7" s="726" t="s">
        <v>220</v>
      </c>
      <c r="B7" s="742" t="s">
        <v>2</v>
      </c>
      <c r="C7" s="727"/>
      <c r="D7" s="747">
        <f>+'TASA DE DEPRECIACIÓN'!D25</f>
        <v>3.1574570413686193E-2</v>
      </c>
      <c r="E7" s="728">
        <f>(D7*(D9)-D12*D8)/D13</f>
        <v>3.1574570413686193E-2</v>
      </c>
      <c r="F7" s="747">
        <f>(E7*(E9)-E12*E8)/E13</f>
        <v>3.1574570413686193E-2</v>
      </c>
      <c r="G7" s="728">
        <f>(F7*(F9)-F12*F8)/F13</f>
        <v>3.1574570413686193E-2</v>
      </c>
      <c r="H7" s="747">
        <f>(G7*(G9)-G12*G8)/G13</f>
        <v>3.1574570413686193E-2</v>
      </c>
    </row>
    <row r="8" spans="1:9">
      <c r="A8" s="372" t="s">
        <v>221</v>
      </c>
      <c r="B8" s="743" t="s">
        <v>2</v>
      </c>
      <c r="C8" s="230"/>
      <c r="D8" s="707">
        <v>0.02</v>
      </c>
      <c r="E8" s="232">
        <v>0.02</v>
      </c>
      <c r="F8" s="707">
        <v>0.02</v>
      </c>
      <c r="G8" s="232">
        <v>0.02</v>
      </c>
      <c r="H8" s="707">
        <v>0.02</v>
      </c>
    </row>
    <row r="9" spans="1:9">
      <c r="A9" s="372" t="s">
        <v>222</v>
      </c>
      <c r="B9" s="743" t="s">
        <v>25</v>
      </c>
      <c r="C9" s="230"/>
      <c r="D9" s="701">
        <f>C13</f>
        <v>269216.41795260523</v>
      </c>
      <c r="E9" s="233">
        <f>D13</f>
        <v>269216.41795260523</v>
      </c>
      <c r="F9" s="701">
        <f>E13</f>
        <v>269216.41795260523</v>
      </c>
      <c r="G9" s="233">
        <f>F13</f>
        <v>269216.41795260523</v>
      </c>
      <c r="H9" s="701">
        <f>G13</f>
        <v>269216.41795260523</v>
      </c>
    </row>
    <row r="10" spans="1:9">
      <c r="A10" s="372" t="s">
        <v>28</v>
      </c>
      <c r="B10" s="743" t="s">
        <v>25</v>
      </c>
      <c r="C10" s="233"/>
      <c r="D10" s="701">
        <f>+C14</f>
        <v>168824.7718657236</v>
      </c>
      <c r="E10" s="233">
        <f>+D14</f>
        <v>160324.3791205587</v>
      </c>
      <c r="F10" s="701">
        <f>+E14</f>
        <v>151823.98637539381</v>
      </c>
      <c r="G10" s="233">
        <f>+F14</f>
        <v>143323.59363022892</v>
      </c>
      <c r="H10" s="701">
        <f>+G14</f>
        <v>134823.20088506403</v>
      </c>
    </row>
    <row r="11" spans="1:9" ht="12.75" customHeight="1">
      <c r="A11" s="372" t="s">
        <v>27</v>
      </c>
      <c r="B11" s="743" t="s">
        <v>25</v>
      </c>
      <c r="C11" s="234"/>
      <c r="D11" s="701">
        <f>-D7*C13</f>
        <v>-8500.3927451649051</v>
      </c>
      <c r="E11" s="233">
        <f>-E7*D13</f>
        <v>-8500.3927451649051</v>
      </c>
      <c r="F11" s="701">
        <f>-F7*E13</f>
        <v>-8500.3927451649051</v>
      </c>
      <c r="G11" s="233">
        <f>-G7*F13</f>
        <v>-8500.3927451649051</v>
      </c>
      <c r="H11" s="701">
        <f>-H7*G13</f>
        <v>-8500.3927451649051</v>
      </c>
    </row>
    <row r="12" spans="1:9">
      <c r="A12" s="372" t="s">
        <v>210</v>
      </c>
      <c r="B12" s="743" t="s">
        <v>25</v>
      </c>
      <c r="C12" s="233"/>
      <c r="D12" s="703"/>
      <c r="E12" s="235"/>
      <c r="F12" s="703"/>
      <c r="G12" s="235"/>
      <c r="H12" s="703"/>
    </row>
    <row r="13" spans="1:9">
      <c r="A13" s="372" t="s">
        <v>33</v>
      </c>
      <c r="B13" s="743" t="s">
        <v>25</v>
      </c>
      <c r="C13" s="233">
        <f>+('ART. 177'!H211)/1000-'PLAN EXPANSIÓN'!$H$6*1000+'BIENES 2008'!D84/1000</f>
        <v>269216.41795260523</v>
      </c>
      <c r="D13" s="703">
        <f>D9+D12</f>
        <v>269216.41795260523</v>
      </c>
      <c r="E13" s="235">
        <f>E9+E12</f>
        <v>269216.41795260523</v>
      </c>
      <c r="F13" s="703">
        <f>F9+F12</f>
        <v>269216.41795260523</v>
      </c>
      <c r="G13" s="235">
        <f>G9+G12</f>
        <v>269216.41795260523</v>
      </c>
      <c r="H13" s="703">
        <f>H9+H12</f>
        <v>269216.41795260523</v>
      </c>
      <c r="I13" t="s">
        <v>774</v>
      </c>
    </row>
    <row r="14" spans="1:9">
      <c r="A14" s="372" t="s">
        <v>29</v>
      </c>
      <c r="B14" s="743" t="s">
        <v>25</v>
      </c>
      <c r="C14" s="235">
        <f>+C13+C15</f>
        <v>168824.7718657236</v>
      </c>
      <c r="D14" s="703">
        <f>+D10+D11+D12</f>
        <v>160324.3791205587</v>
      </c>
      <c r="E14" s="235">
        <f>+E10+E11+E12</f>
        <v>151823.98637539381</v>
      </c>
      <c r="F14" s="703">
        <f>+F10+F11+F12</f>
        <v>143323.59363022892</v>
      </c>
      <c r="G14" s="235">
        <f>+G10+G11+G12</f>
        <v>134823.20088506403</v>
      </c>
      <c r="H14" s="703">
        <f>+H10+H11+H12</f>
        <v>126322.80813989912</v>
      </c>
    </row>
    <row r="15" spans="1:9">
      <c r="A15" s="372" t="s">
        <v>26</v>
      </c>
      <c r="B15" s="743" t="s">
        <v>25</v>
      </c>
      <c r="C15" s="233">
        <f>-('ART. 177'!I211)/1000-'BIENES 2008'!E84/1000</f>
        <v>-100391.64608688165</v>
      </c>
      <c r="D15" s="703">
        <f>+C15+D11</f>
        <v>-108892.03883204656</v>
      </c>
      <c r="E15" s="235">
        <f>+D15+E11</f>
        <v>-117392.43157721146</v>
      </c>
      <c r="F15" s="703">
        <f>+E15+F11</f>
        <v>-125892.82432237637</v>
      </c>
      <c r="G15" s="235">
        <f>+F15+G11</f>
        <v>-134393.21706754126</v>
      </c>
      <c r="H15" s="703">
        <f>+G15+H11</f>
        <v>-142893.60981270616</v>
      </c>
    </row>
    <row r="16" spans="1:9">
      <c r="A16" s="372" t="s">
        <v>35</v>
      </c>
      <c r="B16" s="743" t="s">
        <v>25</v>
      </c>
      <c r="C16" s="235">
        <f t="shared" ref="C16:H16" si="0">+C13+C15</f>
        <v>168824.7718657236</v>
      </c>
      <c r="D16" s="703">
        <f t="shared" si="0"/>
        <v>160324.37912055867</v>
      </c>
      <c r="E16" s="235">
        <f t="shared" si="0"/>
        <v>151823.98637539375</v>
      </c>
      <c r="F16" s="703">
        <f t="shared" si="0"/>
        <v>143323.59363022886</v>
      </c>
      <c r="G16" s="235">
        <f t="shared" si="0"/>
        <v>134823.20088506397</v>
      </c>
      <c r="H16" s="703">
        <f t="shared" si="0"/>
        <v>126322.80813989908</v>
      </c>
    </row>
    <row r="17" spans="1:10">
      <c r="A17" s="372"/>
      <c r="B17" s="743"/>
      <c r="C17" s="230"/>
      <c r="D17" s="700"/>
      <c r="E17" s="230"/>
      <c r="F17" s="700"/>
      <c r="G17" s="230"/>
      <c r="H17" s="700"/>
    </row>
    <row r="18" spans="1:10">
      <c r="A18" s="361" t="s">
        <v>30</v>
      </c>
      <c r="B18" s="743"/>
      <c r="C18" s="230"/>
      <c r="D18" s="700"/>
      <c r="E18" s="230"/>
      <c r="F18" s="700"/>
      <c r="G18" s="230"/>
      <c r="H18" s="700"/>
    </row>
    <row r="19" spans="1:10">
      <c r="A19" s="372" t="s">
        <v>31</v>
      </c>
      <c r="B19" s="743" t="s">
        <v>25</v>
      </c>
      <c r="C19" s="233"/>
      <c r="D19" s="701">
        <f>+'PLAN EXPANSIÓN'!C91*1000</f>
        <v>23140.566321428611</v>
      </c>
      <c r="E19" s="233">
        <f>+'PLAN EXPANSIÓN'!D91*1000</f>
        <v>665</v>
      </c>
      <c r="F19" s="701">
        <f>+'PLAN EXPANSIÓN'!E91*1000</f>
        <v>35110</v>
      </c>
      <c r="G19" s="233">
        <f>+'PLAN EXPANSIÓN'!F91*1000</f>
        <v>25839.000000000004</v>
      </c>
      <c r="H19" s="701">
        <f>+'PLAN EXPANSIÓN'!G91*1000</f>
        <v>0</v>
      </c>
      <c r="J19" s="9"/>
    </row>
    <row r="20" spans="1:10">
      <c r="A20" s="372" t="s">
        <v>32</v>
      </c>
      <c r="B20" s="743" t="s">
        <v>2</v>
      </c>
      <c r="C20" s="4"/>
      <c r="D20" s="708">
        <v>0.03</v>
      </c>
      <c r="E20" s="718">
        <v>0.03</v>
      </c>
      <c r="F20" s="708">
        <v>0.03</v>
      </c>
      <c r="G20" s="718">
        <v>0.03</v>
      </c>
      <c r="H20" s="708">
        <v>0.03</v>
      </c>
    </row>
    <row r="21" spans="1:10">
      <c r="A21" s="372" t="s">
        <v>28</v>
      </c>
      <c r="B21" s="743" t="s">
        <v>25</v>
      </c>
      <c r="C21" s="719"/>
      <c r="D21" s="17">
        <f>+C23</f>
        <v>0</v>
      </c>
      <c r="E21" s="720">
        <f>+D23</f>
        <v>23140.566321428611</v>
      </c>
      <c r="F21" s="17">
        <f>+E23</f>
        <v>22585.72908955361</v>
      </c>
      <c r="G21" s="720">
        <f>+F23</f>
        <v>56963.27459991075</v>
      </c>
      <c r="H21" s="17">
        <f>+G23</f>
        <v>80460.172610267895</v>
      </c>
    </row>
    <row r="22" spans="1:10">
      <c r="A22" s="372" t="s">
        <v>27</v>
      </c>
      <c r="B22" s="743" t="s">
        <v>25</v>
      </c>
      <c r="C22" s="721"/>
      <c r="D22" s="17">
        <f>-D20*C24</f>
        <v>0</v>
      </c>
      <c r="E22" s="720">
        <f>-E20*D24-E20*IMP!E22</f>
        <v>-1219.8372318750021</v>
      </c>
      <c r="F22" s="17">
        <f>-F20*E24-F20*IMP!F22</f>
        <v>-732.45448964285833</v>
      </c>
      <c r="G22" s="720">
        <f>-G20*F24-G20*IMP!G22</f>
        <v>-2342.1019896428579</v>
      </c>
      <c r="H22" s="17">
        <f>-H20*G24-H20*IMP!H22</f>
        <v>-2940.6469896428584</v>
      </c>
    </row>
    <row r="23" spans="1:10">
      <c r="A23" s="372" t="s">
        <v>29</v>
      </c>
      <c r="B23" s="743" t="s">
        <v>25</v>
      </c>
      <c r="C23" s="722">
        <v>0</v>
      </c>
      <c r="D23" s="16">
        <f>+D21+D22+D19</f>
        <v>23140.566321428611</v>
      </c>
      <c r="E23" s="78">
        <f>+E21+E22+E19</f>
        <v>22585.72908955361</v>
      </c>
      <c r="F23" s="16">
        <f>+F21+F22+F19</f>
        <v>56963.27459991075</v>
      </c>
      <c r="G23" s="78">
        <f>+G21+G22+G19</f>
        <v>80460.172610267895</v>
      </c>
      <c r="H23" s="16">
        <f>+H21+H22+H19</f>
        <v>77519.525620625034</v>
      </c>
    </row>
    <row r="24" spans="1:10">
      <c r="A24" s="372" t="s">
        <v>33</v>
      </c>
      <c r="B24" s="743" t="s">
        <v>25</v>
      </c>
      <c r="C24" s="719">
        <v>0</v>
      </c>
      <c r="D24" s="16">
        <f>+C24+D19</f>
        <v>23140.566321428611</v>
      </c>
      <c r="E24" s="78">
        <f>+D24+E19</f>
        <v>23805.566321428611</v>
      </c>
      <c r="F24" s="16">
        <f>+E24+F19</f>
        <v>58915.566321428611</v>
      </c>
      <c r="G24" s="78">
        <f>+F24+G19</f>
        <v>84754.566321428618</v>
      </c>
      <c r="H24" s="16">
        <f>+G24+H19</f>
        <v>84754.566321428618</v>
      </c>
    </row>
    <row r="25" spans="1:10">
      <c r="A25" s="372" t="s">
        <v>26</v>
      </c>
      <c r="B25" s="743" t="s">
        <v>25</v>
      </c>
      <c r="C25" s="719">
        <v>0</v>
      </c>
      <c r="D25" s="16">
        <f>+C25+D22</f>
        <v>0</v>
      </c>
      <c r="E25" s="78">
        <f>+D25+E22</f>
        <v>-1219.8372318750021</v>
      </c>
      <c r="F25" s="16">
        <f>+E25+F22</f>
        <v>-1952.2917215178604</v>
      </c>
      <c r="G25" s="78">
        <f>+F25+G22</f>
        <v>-4294.3937111607183</v>
      </c>
      <c r="H25" s="16">
        <f>+G25+H22</f>
        <v>-7235.0407008035763</v>
      </c>
    </row>
    <row r="26" spans="1:10">
      <c r="A26" s="372" t="s">
        <v>35</v>
      </c>
      <c r="B26" s="743" t="s">
        <v>25</v>
      </c>
      <c r="C26" s="719">
        <v>0</v>
      </c>
      <c r="D26" s="16">
        <f>+D24+D25</f>
        <v>23140.566321428611</v>
      </c>
      <c r="E26" s="78">
        <f>+E24+E25</f>
        <v>22585.72908955361</v>
      </c>
      <c r="F26" s="16">
        <f>+F24+F25</f>
        <v>56963.27459991075</v>
      </c>
      <c r="G26" s="78">
        <f>+G24+G25</f>
        <v>80460.172610267895</v>
      </c>
      <c r="H26" s="16">
        <f>+H24+H25</f>
        <v>77519.525620625034</v>
      </c>
    </row>
    <row r="27" spans="1:10">
      <c r="A27" s="372"/>
      <c r="B27" s="409"/>
      <c r="C27" s="4"/>
      <c r="D27" s="409"/>
      <c r="E27" s="4"/>
      <c r="F27" s="409"/>
      <c r="G27" s="4"/>
      <c r="H27" s="409"/>
    </row>
    <row r="28" spans="1:10">
      <c r="A28" s="748" t="s">
        <v>38</v>
      </c>
      <c r="B28" s="749" t="s">
        <v>25</v>
      </c>
      <c r="C28" s="750">
        <f t="shared" ref="C28:H28" si="1">+C13+C24</f>
        <v>269216.41795260523</v>
      </c>
      <c r="D28" s="751">
        <f t="shared" si="1"/>
        <v>292356.98427403386</v>
      </c>
      <c r="E28" s="750">
        <f t="shared" si="1"/>
        <v>293021.98427403386</v>
      </c>
      <c r="F28" s="751">
        <f t="shared" si="1"/>
        <v>328131.98427403386</v>
      </c>
      <c r="G28" s="750">
        <f t="shared" si="1"/>
        <v>353970.98427403386</v>
      </c>
      <c r="H28" s="751">
        <f t="shared" si="1"/>
        <v>353970.98427403386</v>
      </c>
    </row>
    <row r="29" spans="1:10">
      <c r="A29" s="735" t="s">
        <v>39</v>
      </c>
      <c r="B29" s="744" t="s">
        <v>25</v>
      </c>
      <c r="C29" s="724">
        <f t="shared" ref="C29:H29" si="2">+C16+C26</f>
        <v>168824.7718657236</v>
      </c>
      <c r="D29" s="710">
        <f t="shared" si="2"/>
        <v>183464.94544198728</v>
      </c>
      <c r="E29" s="724">
        <f t="shared" si="2"/>
        <v>174409.71546494737</v>
      </c>
      <c r="F29" s="710">
        <f t="shared" si="2"/>
        <v>200286.8682301396</v>
      </c>
      <c r="G29" s="724">
        <f t="shared" si="2"/>
        <v>215283.37349533185</v>
      </c>
      <c r="H29" s="710">
        <f t="shared" si="2"/>
        <v>203842.33376052411</v>
      </c>
    </row>
    <row r="30" spans="1:10">
      <c r="A30" s="738" t="s">
        <v>10</v>
      </c>
      <c r="B30" s="745" t="s">
        <v>25</v>
      </c>
      <c r="C30" s="740">
        <f t="shared" ref="C30:H30" si="3">+C11+C22</f>
        <v>0</v>
      </c>
      <c r="D30" s="712">
        <f t="shared" si="3"/>
        <v>-8500.3927451649051</v>
      </c>
      <c r="E30" s="740">
        <f t="shared" si="3"/>
        <v>-9720.2299770399077</v>
      </c>
      <c r="F30" s="712">
        <f t="shared" si="3"/>
        <v>-9232.847234807763</v>
      </c>
      <c r="G30" s="740">
        <f t="shared" si="3"/>
        <v>-10842.494734807762</v>
      </c>
      <c r="H30" s="712">
        <f t="shared" si="3"/>
        <v>-11441.039734807764</v>
      </c>
    </row>
    <row r="31" spans="1:10">
      <c r="A31" s="372"/>
      <c r="B31" s="409"/>
      <c r="C31" s="4"/>
      <c r="D31" s="409"/>
      <c r="E31" s="4"/>
      <c r="F31" s="409"/>
      <c r="G31" s="4"/>
      <c r="H31" s="409"/>
    </row>
    <row r="32" spans="1:10">
      <c r="A32" s="753" t="s">
        <v>549</v>
      </c>
      <c r="B32" s="409"/>
      <c r="C32" s="4"/>
      <c r="D32" s="409"/>
      <c r="E32" s="4"/>
      <c r="F32" s="409"/>
      <c r="G32" s="4"/>
      <c r="H32" s="409"/>
    </row>
    <row r="33" spans="1:10">
      <c r="A33" s="372"/>
      <c r="B33" s="409"/>
      <c r="C33" s="4"/>
      <c r="D33" s="409"/>
      <c r="E33" s="4"/>
      <c r="F33" s="409"/>
      <c r="G33" s="4"/>
      <c r="H33" s="409"/>
    </row>
    <row r="34" spans="1:10" s="1" customFormat="1" ht="19.5" customHeight="1">
      <c r="A34" s="697" t="s">
        <v>34</v>
      </c>
      <c r="B34" s="752" t="s">
        <v>24</v>
      </c>
      <c r="C34" s="698">
        <v>2008</v>
      </c>
      <c r="D34" s="2">
        <f>+C34+1</f>
        <v>2009</v>
      </c>
      <c r="E34" s="698">
        <f>+D34+1</f>
        <v>2010</v>
      </c>
      <c r="F34" s="2">
        <f>+E34+1</f>
        <v>2011</v>
      </c>
      <c r="G34" s="698">
        <f>+F34+1</f>
        <v>2012</v>
      </c>
      <c r="H34" s="2">
        <f>+G34+1</f>
        <v>2013</v>
      </c>
    </row>
    <row r="35" spans="1:10">
      <c r="A35" s="372" t="s">
        <v>220</v>
      </c>
      <c r="B35" s="743" t="s">
        <v>2</v>
      </c>
      <c r="C35" s="230"/>
      <c r="D35" s="706">
        <f>+D7</f>
        <v>3.1574570413686193E-2</v>
      </c>
      <c r="E35" s="231">
        <f>(D35*(D37)-D40*D36)/D41</f>
        <v>3.1574570413686193E-2</v>
      </c>
      <c r="F35" s="706">
        <f>(E35*(E37)-E40*E36)/E41</f>
        <v>3.1574570413686193E-2</v>
      </c>
      <c r="G35" s="231">
        <f>(F35*(F37)-F40*F36)/F41</f>
        <v>3.4725480452187714E-2</v>
      </c>
      <c r="H35" s="706">
        <f>(G35*(G37)-G40*G36)/G41</f>
        <v>3.4725480452187714E-2</v>
      </c>
    </row>
    <row r="36" spans="1:10">
      <c r="A36" s="372" t="s">
        <v>221</v>
      </c>
      <c r="B36" s="743" t="s">
        <v>2</v>
      </c>
      <c r="C36" s="230"/>
      <c r="D36" s="707">
        <v>0.02</v>
      </c>
      <c r="E36" s="232">
        <v>0.02</v>
      </c>
      <c r="F36" s="707">
        <v>0.02</v>
      </c>
      <c r="G36" s="232">
        <v>0.02</v>
      </c>
      <c r="H36" s="707">
        <v>0.02</v>
      </c>
    </row>
    <row r="37" spans="1:10">
      <c r="A37" s="372" t="s">
        <v>222</v>
      </c>
      <c r="B37" s="743" t="s">
        <v>25</v>
      </c>
      <c r="C37" s="230"/>
      <c r="D37" s="701">
        <f>C41</f>
        <v>29278.38</v>
      </c>
      <c r="E37" s="233">
        <f>D41</f>
        <v>29278.38</v>
      </c>
      <c r="F37" s="701">
        <f>E41</f>
        <v>29278.38</v>
      </c>
      <c r="G37" s="233">
        <f>F41</f>
        <v>27592.628852805199</v>
      </c>
      <c r="H37" s="701">
        <f>G41</f>
        <v>27592.628852805199</v>
      </c>
    </row>
    <row r="38" spans="1:10">
      <c r="A38" s="372" t="s">
        <v>28</v>
      </c>
      <c r="B38" s="743" t="s">
        <v>25</v>
      </c>
      <c r="C38" s="233"/>
      <c r="D38" s="701">
        <f>+C42</f>
        <v>8262.5292699999845</v>
      </c>
      <c r="E38" s="233">
        <f>+D42</f>
        <v>7338.0769990913232</v>
      </c>
      <c r="F38" s="701">
        <f>+E42</f>
        <v>6413.6247281826618</v>
      </c>
      <c r="G38" s="233">
        <f>+F42</f>
        <v>3803.421310079199</v>
      </c>
      <c r="H38" s="701">
        <f>+G42</f>
        <v>2845.2540162266414</v>
      </c>
    </row>
    <row r="39" spans="1:10" ht="12.75" customHeight="1">
      <c r="A39" s="372" t="s">
        <v>27</v>
      </c>
      <c r="B39" s="743" t="s">
        <v>25</v>
      </c>
      <c r="C39" s="234"/>
      <c r="D39" s="701">
        <f>-D35*C41</f>
        <v>-924.4522709086616</v>
      </c>
      <c r="E39" s="233">
        <f>-E35*D41</f>
        <v>-924.4522709086616</v>
      </c>
      <c r="F39" s="701">
        <f>-F35*E41</f>
        <v>-924.4522709086616</v>
      </c>
      <c r="G39" s="233">
        <f>-G35*F41</f>
        <v>-958.16729385255769</v>
      </c>
      <c r="H39" s="701">
        <f>-H35*G41</f>
        <v>-958.16729385255769</v>
      </c>
    </row>
    <row r="40" spans="1:10">
      <c r="A40" s="372" t="s">
        <v>210</v>
      </c>
      <c r="B40" s="743" t="s">
        <v>25</v>
      </c>
      <c r="C40" s="233"/>
      <c r="D40" s="703"/>
      <c r="E40" s="235"/>
      <c r="F40" s="703">
        <f>-D216/1000</f>
        <v>-1685.7511471948014</v>
      </c>
      <c r="G40" s="235"/>
      <c r="H40" s="703"/>
    </row>
    <row r="41" spans="1:10">
      <c r="A41" s="372" t="s">
        <v>33</v>
      </c>
      <c r="B41" s="743" t="s">
        <v>25</v>
      </c>
      <c r="C41" s="233">
        <f>+'EVOLUCIÓN BIENES'!$F$89/1000</f>
        <v>29278.38</v>
      </c>
      <c r="D41" s="703">
        <f>D37+D40</f>
        <v>29278.38</v>
      </c>
      <c r="E41" s="235">
        <f>E37+E40</f>
        <v>29278.38</v>
      </c>
      <c r="F41" s="703">
        <f>F37+F40</f>
        <v>27592.628852805199</v>
      </c>
      <c r="G41" s="235">
        <f>G37+G40</f>
        <v>27592.628852805199</v>
      </c>
      <c r="H41" s="703">
        <f>H37+H40</f>
        <v>27592.628852805199</v>
      </c>
    </row>
    <row r="42" spans="1:10">
      <c r="A42" s="372" t="s">
        <v>29</v>
      </c>
      <c r="B42" s="743" t="s">
        <v>25</v>
      </c>
      <c r="C42" s="235">
        <f>+C41+C43</f>
        <v>8262.5292699999845</v>
      </c>
      <c r="D42" s="703">
        <f>+D38+D39+D40</f>
        <v>7338.0769990913232</v>
      </c>
      <c r="E42" s="235">
        <f>+E38+E39+E40</f>
        <v>6413.6247281826618</v>
      </c>
      <c r="F42" s="703">
        <f>+F38+F39+F40</f>
        <v>3803.421310079199</v>
      </c>
      <c r="G42" s="235">
        <f>+G38+G39+G40</f>
        <v>2845.2540162266414</v>
      </c>
      <c r="H42" s="703">
        <f>+H38+H39+H40</f>
        <v>1887.0867223740838</v>
      </c>
    </row>
    <row r="43" spans="1:10">
      <c r="A43" s="372" t="s">
        <v>26</v>
      </c>
      <c r="B43" s="743" t="s">
        <v>25</v>
      </c>
      <c r="C43" s="233">
        <f>-'EVOLUCIÓN BIENES'!$G$89/1000</f>
        <v>-21015.850730000016</v>
      </c>
      <c r="D43" s="703">
        <f>+C43+D39</f>
        <v>-21940.30300090868</v>
      </c>
      <c r="E43" s="235">
        <f>+D43+E39</f>
        <v>-22864.755271817343</v>
      </c>
      <c r="F43" s="703">
        <f>+E43+F39</f>
        <v>-23789.207542726006</v>
      </c>
      <c r="G43" s="235">
        <f>+F43+G39</f>
        <v>-24747.374836578565</v>
      </c>
      <c r="H43" s="703">
        <f>+G43+H39</f>
        <v>-25705.542130431124</v>
      </c>
      <c r="I43" s="18"/>
    </row>
    <row r="44" spans="1:10">
      <c r="A44" s="372" t="s">
        <v>35</v>
      </c>
      <c r="B44" s="743" t="s">
        <v>25</v>
      </c>
      <c r="C44" s="235">
        <f t="shared" ref="C44:H44" si="4">+C41+C43</f>
        <v>8262.5292699999845</v>
      </c>
      <c r="D44" s="703">
        <f t="shared" si="4"/>
        <v>7338.0769990913213</v>
      </c>
      <c r="E44" s="235">
        <f t="shared" si="4"/>
        <v>6413.6247281826581</v>
      </c>
      <c r="F44" s="703">
        <f t="shared" si="4"/>
        <v>3803.4213100791931</v>
      </c>
      <c r="G44" s="235">
        <f t="shared" si="4"/>
        <v>2845.2540162266341</v>
      </c>
      <c r="H44" s="703">
        <f t="shared" si="4"/>
        <v>1887.0867223740752</v>
      </c>
    </row>
    <row r="45" spans="1:10">
      <c r="A45" s="372"/>
      <c r="B45" s="743"/>
      <c r="C45" s="230"/>
      <c r="D45" s="700"/>
      <c r="E45" s="230"/>
      <c r="F45" s="700"/>
      <c r="G45" s="230"/>
      <c r="H45" s="700"/>
    </row>
    <row r="46" spans="1:10">
      <c r="A46" s="361" t="s">
        <v>30</v>
      </c>
      <c r="B46" s="743"/>
      <c r="C46" s="230"/>
      <c r="D46" s="700"/>
      <c r="E46" s="230"/>
      <c r="F46" s="700"/>
      <c r="G46" s="230"/>
      <c r="H46" s="700"/>
    </row>
    <row r="47" spans="1:10">
      <c r="A47" s="372" t="s">
        <v>31</v>
      </c>
      <c r="B47" s="743" t="s">
        <v>25</v>
      </c>
      <c r="C47" s="233"/>
      <c r="D47" s="701">
        <f>+'PLAN EXPANSIÓN'!$C$96*1000</f>
        <v>6404.9999999999991</v>
      </c>
      <c r="E47" s="701">
        <f>+'PLAN EXPANSIÓN'!$D$96*1000</f>
        <v>7470.9999999999991</v>
      </c>
      <c r="F47" s="701">
        <f>+'PLAN EXPANSIÓN'!$E$96*1000</f>
        <v>2159.9999999999995</v>
      </c>
      <c r="G47" s="233">
        <f>+'PLAN EXPANSIÓN'!$F$96*1000</f>
        <v>593</v>
      </c>
      <c r="H47" s="701">
        <f>+'PLAN EXPANSIÓN'!$G$96*1000</f>
        <v>792</v>
      </c>
      <c r="I47" s="9">
        <f>SUM(D47:H47)</f>
        <v>17421</v>
      </c>
      <c r="J47" s="9"/>
    </row>
    <row r="48" spans="1:10">
      <c r="A48" s="372" t="s">
        <v>32</v>
      </c>
      <c r="B48" s="743" t="s">
        <v>2</v>
      </c>
      <c r="C48" s="4"/>
      <c r="D48" s="708">
        <v>0.03</v>
      </c>
      <c r="E48" s="718">
        <v>0.03</v>
      </c>
      <c r="F48" s="708">
        <v>0.03</v>
      </c>
      <c r="G48" s="718">
        <v>0.03</v>
      </c>
      <c r="H48" s="708">
        <v>0.03</v>
      </c>
    </row>
    <row r="49" spans="1:8">
      <c r="A49" s="372" t="s">
        <v>28</v>
      </c>
      <c r="B49" s="743" t="s">
        <v>25</v>
      </c>
      <c r="C49" s="719"/>
      <c r="D49" s="17">
        <f>+C51</f>
        <v>0</v>
      </c>
      <c r="E49" s="720">
        <f>+D51</f>
        <v>6404.9999999999991</v>
      </c>
      <c r="F49" s="17">
        <f>+E51</f>
        <v>13683.849999999999</v>
      </c>
      <c r="G49" s="720">
        <f>+F51</f>
        <v>15427.569999999998</v>
      </c>
      <c r="H49" s="17">
        <f>+G51</f>
        <v>15539.489999999998</v>
      </c>
    </row>
    <row r="50" spans="1:8">
      <c r="A50" s="372" t="s">
        <v>27</v>
      </c>
      <c r="B50" s="743" t="s">
        <v>25</v>
      </c>
      <c r="C50" s="721"/>
      <c r="D50" s="17">
        <f>-D48*C52</f>
        <v>0</v>
      </c>
      <c r="E50" s="720">
        <f>-E48*D52</f>
        <v>-192.14999999999998</v>
      </c>
      <c r="F50" s="17">
        <f>-F48*E52</f>
        <v>-416.27999999999992</v>
      </c>
      <c r="G50" s="720">
        <f>-G48*F52</f>
        <v>-481.07999999999993</v>
      </c>
      <c r="H50" s="17">
        <f>-H48*G52</f>
        <v>-498.87</v>
      </c>
    </row>
    <row r="51" spans="1:8">
      <c r="A51" s="372" t="s">
        <v>29</v>
      </c>
      <c r="B51" s="743" t="s">
        <v>25</v>
      </c>
      <c r="C51" s="722">
        <v>0</v>
      </c>
      <c r="D51" s="16">
        <f>+D49+D50+D47</f>
        <v>6404.9999999999991</v>
      </c>
      <c r="E51" s="78">
        <f>+E49+E50+E47</f>
        <v>13683.849999999999</v>
      </c>
      <c r="F51" s="16">
        <f>+F49+F50+F47</f>
        <v>15427.569999999998</v>
      </c>
      <c r="G51" s="78">
        <f>+G49+G50+G47</f>
        <v>15539.489999999998</v>
      </c>
      <c r="H51" s="16">
        <f>+H49+H50+H47</f>
        <v>15832.619999999997</v>
      </c>
    </row>
    <row r="52" spans="1:8">
      <c r="A52" s="372" t="s">
        <v>33</v>
      </c>
      <c r="B52" s="743" t="s">
        <v>25</v>
      </c>
      <c r="C52" s="719">
        <v>0</v>
      </c>
      <c r="D52" s="16">
        <f>+C52+D47</f>
        <v>6404.9999999999991</v>
      </c>
      <c r="E52" s="78">
        <f>+D52+E47</f>
        <v>13875.999999999998</v>
      </c>
      <c r="F52" s="16">
        <f>+E52+F47</f>
        <v>16035.999999999998</v>
      </c>
      <c r="G52" s="78">
        <f>+F52+G47</f>
        <v>16629</v>
      </c>
      <c r="H52" s="16">
        <f>+G52+H47</f>
        <v>17421</v>
      </c>
    </row>
    <row r="53" spans="1:8">
      <c r="A53" s="372" t="s">
        <v>26</v>
      </c>
      <c r="B53" s="743" t="s">
        <v>25</v>
      </c>
      <c r="C53" s="719">
        <v>0</v>
      </c>
      <c r="D53" s="16">
        <f>+C53+D50</f>
        <v>0</v>
      </c>
      <c r="E53" s="78">
        <f>+D53+E50</f>
        <v>-192.14999999999998</v>
      </c>
      <c r="F53" s="16">
        <f>+E53+F50</f>
        <v>-608.42999999999984</v>
      </c>
      <c r="G53" s="78">
        <f>+F53+G50</f>
        <v>-1089.5099999999998</v>
      </c>
      <c r="H53" s="16">
        <f>+G53+H50</f>
        <v>-1588.3799999999997</v>
      </c>
    </row>
    <row r="54" spans="1:8">
      <c r="A54" s="372" t="s">
        <v>35</v>
      </c>
      <c r="B54" s="743" t="s">
        <v>25</v>
      </c>
      <c r="C54" s="719">
        <v>0</v>
      </c>
      <c r="D54" s="16">
        <f>+D52+D53</f>
        <v>6404.9999999999991</v>
      </c>
      <c r="E54" s="78">
        <f>+E52+E53</f>
        <v>13683.849999999999</v>
      </c>
      <c r="F54" s="16">
        <f>+F52+F53</f>
        <v>15427.569999999998</v>
      </c>
      <c r="G54" s="78">
        <f>+G52+G53</f>
        <v>15539.49</v>
      </c>
      <c r="H54" s="16">
        <f>+H52+H53</f>
        <v>15832.62</v>
      </c>
    </row>
    <row r="55" spans="1:8">
      <c r="A55" s="372"/>
      <c r="B55" s="409"/>
      <c r="C55" s="4"/>
      <c r="D55" s="409"/>
      <c r="E55" s="4"/>
      <c r="F55" s="409"/>
      <c r="G55" s="4"/>
      <c r="H55" s="409"/>
    </row>
    <row r="56" spans="1:8">
      <c r="A56" s="748" t="s">
        <v>544</v>
      </c>
      <c r="B56" s="749" t="s">
        <v>25</v>
      </c>
      <c r="C56" s="750">
        <f t="shared" ref="C56:H56" si="5">+C41+C52</f>
        <v>29278.38</v>
      </c>
      <c r="D56" s="751">
        <f t="shared" si="5"/>
        <v>35683.379999999997</v>
      </c>
      <c r="E56" s="750">
        <f t="shared" si="5"/>
        <v>43154.38</v>
      </c>
      <c r="F56" s="751">
        <f t="shared" si="5"/>
        <v>43628.628852805195</v>
      </c>
      <c r="G56" s="750">
        <f t="shared" si="5"/>
        <v>44221.628852805195</v>
      </c>
      <c r="H56" s="751">
        <f t="shared" si="5"/>
        <v>45013.628852805195</v>
      </c>
    </row>
    <row r="57" spans="1:8">
      <c r="A57" s="735" t="s">
        <v>545</v>
      </c>
      <c r="B57" s="744" t="s">
        <v>25</v>
      </c>
      <c r="C57" s="724">
        <f t="shared" ref="C57:H57" si="6">+C44+C54</f>
        <v>8262.5292699999845</v>
      </c>
      <c r="D57" s="710">
        <f t="shared" si="6"/>
        <v>13743.076999091321</v>
      </c>
      <c r="E57" s="724">
        <f t="shared" si="6"/>
        <v>20097.474728182657</v>
      </c>
      <c r="F57" s="710">
        <f t="shared" si="6"/>
        <v>19230.991310079189</v>
      </c>
      <c r="G57" s="724">
        <f t="shared" si="6"/>
        <v>18384.744016226636</v>
      </c>
      <c r="H57" s="710">
        <f t="shared" si="6"/>
        <v>17719.706722374074</v>
      </c>
    </row>
    <row r="58" spans="1:8">
      <c r="A58" s="738" t="s">
        <v>546</v>
      </c>
      <c r="B58" s="745" t="s">
        <v>25</v>
      </c>
      <c r="C58" s="740">
        <f t="shared" ref="C58:H58" si="7">+C39+C50</f>
        <v>0</v>
      </c>
      <c r="D58" s="712">
        <f t="shared" si="7"/>
        <v>-924.4522709086616</v>
      </c>
      <c r="E58" s="740">
        <f t="shared" si="7"/>
        <v>-1116.6022709086615</v>
      </c>
      <c r="F58" s="712">
        <f t="shared" si="7"/>
        <v>-1340.7322709086616</v>
      </c>
      <c r="G58" s="740">
        <f t="shared" si="7"/>
        <v>-1439.2472938525575</v>
      </c>
      <c r="H58" s="712">
        <f t="shared" si="7"/>
        <v>-1457.0372938525577</v>
      </c>
    </row>
    <row r="60" spans="1:8">
      <c r="A60" s="11" t="s">
        <v>36</v>
      </c>
    </row>
    <row r="62" spans="1:8" ht="24" customHeight="1">
      <c r="A62" s="653" t="s">
        <v>34</v>
      </c>
      <c r="B62" s="673" t="s">
        <v>24</v>
      </c>
      <c r="C62" s="653">
        <v>2008</v>
      </c>
      <c r="D62" s="672">
        <f>+C62+1</f>
        <v>2009</v>
      </c>
      <c r="E62" s="653">
        <f>+D62+1</f>
        <v>2010</v>
      </c>
      <c r="F62" s="672">
        <f>+E62+1</f>
        <v>2011</v>
      </c>
      <c r="G62" s="653">
        <f>+F62+1</f>
        <v>2012</v>
      </c>
      <c r="H62" s="819">
        <f>+G62+1</f>
        <v>2013</v>
      </c>
    </row>
    <row r="63" spans="1:8">
      <c r="A63" s="820" t="s">
        <v>32</v>
      </c>
      <c r="B63" s="821" t="s">
        <v>2</v>
      </c>
      <c r="C63" s="822"/>
      <c r="D63" s="823">
        <f>+'TASA DE DEPRECIACIÓN'!D26</f>
        <v>2.5702436806975103E-2</v>
      </c>
      <c r="E63" s="824">
        <f>(D63*(D65)-D68*D64)/D69</f>
        <v>2.57024368069751E-2</v>
      </c>
      <c r="F63" s="823">
        <f>(E63*(E65)-E68*E64)/E69</f>
        <v>2.57024368069751E-2</v>
      </c>
      <c r="G63" s="824">
        <f>(F63*(F65)-F68*F64)/F69</f>
        <v>2.57024368069751E-2</v>
      </c>
      <c r="H63" s="825">
        <f>(G63*(G65)-G68*G64)/G69</f>
        <v>2.57024368069751E-2</v>
      </c>
    </row>
    <row r="64" spans="1:8">
      <c r="A64" s="820" t="s">
        <v>221</v>
      </c>
      <c r="B64" s="821" t="s">
        <v>2</v>
      </c>
      <c r="C64" s="822"/>
      <c r="D64" s="826">
        <v>0.02</v>
      </c>
      <c r="E64" s="827">
        <v>0.02</v>
      </c>
      <c r="F64" s="826">
        <v>0.02</v>
      </c>
      <c r="G64" s="827">
        <v>0.02</v>
      </c>
      <c r="H64" s="828">
        <v>0.02</v>
      </c>
    </row>
    <row r="65" spans="1:10">
      <c r="A65" s="820" t="s">
        <v>222</v>
      </c>
      <c r="B65" s="821" t="s">
        <v>25</v>
      </c>
      <c r="C65" s="822"/>
      <c r="D65" s="829">
        <f>C69</f>
        <v>23032.303161225453</v>
      </c>
      <c r="E65" s="830">
        <f>D69</f>
        <v>23032.303161225453</v>
      </c>
      <c r="F65" s="829">
        <f>E69</f>
        <v>23032.303161225453</v>
      </c>
      <c r="G65" s="830">
        <f>F69</f>
        <v>23032.303161225453</v>
      </c>
      <c r="H65" s="831">
        <f>G69</f>
        <v>23032.303161225453</v>
      </c>
    </row>
    <row r="66" spans="1:10">
      <c r="A66" s="820" t="s">
        <v>28</v>
      </c>
      <c r="B66" s="821" t="s">
        <v>25</v>
      </c>
      <c r="C66" s="830"/>
      <c r="D66" s="829">
        <f>+C70</f>
        <v>11189.651451084055</v>
      </c>
      <c r="E66" s="830">
        <f>+D70</f>
        <v>10597.665134563566</v>
      </c>
      <c r="F66" s="829">
        <f>+E70</f>
        <v>10005.678818043076</v>
      </c>
      <c r="G66" s="830">
        <f>+F70</f>
        <v>9200.9277296344462</v>
      </c>
      <c r="H66" s="831">
        <f>+G70</f>
        <v>8510.0255850623125</v>
      </c>
    </row>
    <row r="67" spans="1:10">
      <c r="A67" s="820" t="s">
        <v>27</v>
      </c>
      <c r="B67" s="821" t="s">
        <v>25</v>
      </c>
      <c r="C67" s="832"/>
      <c r="D67" s="829">
        <f>-D63*C69-D63*IMP!E23</f>
        <v>-591.98631652049005</v>
      </c>
      <c r="E67" s="830">
        <f>-E63*D69-E63*IMP!F23</f>
        <v>-591.98631652049005</v>
      </c>
      <c r="F67" s="829">
        <f>-F63*E69-F63*IMP!G23</f>
        <v>-804.75108840862993</v>
      </c>
      <c r="G67" s="830">
        <f>-G63*F69-G63*IMP!H23</f>
        <v>-690.90214457213369</v>
      </c>
      <c r="H67" s="831">
        <f>-H63*G69-H63*IMP!I23</f>
        <v>-591.98631652049005</v>
      </c>
    </row>
    <row r="68" spans="1:10">
      <c r="A68" s="820" t="s">
        <v>210</v>
      </c>
      <c r="B68" s="821" t="s">
        <v>25</v>
      </c>
      <c r="C68" s="830"/>
      <c r="D68" s="833"/>
      <c r="E68" s="834"/>
      <c r="F68" s="833"/>
      <c r="G68" s="834"/>
      <c r="H68" s="835"/>
    </row>
    <row r="69" spans="1:10">
      <c r="A69" s="820" t="s">
        <v>33</v>
      </c>
      <c r="B69" s="821" t="s">
        <v>25</v>
      </c>
      <c r="C69" s="830">
        <f>+'EVOLUCIÓN BIENES'!F114/1000</f>
        <v>23032.303161225453</v>
      </c>
      <c r="D69" s="833">
        <f>D65+D68</f>
        <v>23032.303161225453</v>
      </c>
      <c r="E69" s="834">
        <f>E65+E68</f>
        <v>23032.303161225453</v>
      </c>
      <c r="F69" s="833">
        <f>F65+F68</f>
        <v>23032.303161225453</v>
      </c>
      <c r="G69" s="834">
        <f>G65+G68</f>
        <v>23032.303161225453</v>
      </c>
      <c r="H69" s="835">
        <f>H65+H68</f>
        <v>23032.303161225453</v>
      </c>
    </row>
    <row r="70" spans="1:10">
      <c r="A70" s="820" t="s">
        <v>29</v>
      </c>
      <c r="B70" s="821" t="s">
        <v>25</v>
      </c>
      <c r="C70" s="834">
        <f>+C69+C71</f>
        <v>11189.651451084055</v>
      </c>
      <c r="D70" s="833">
        <f>+D66+D67+D68</f>
        <v>10597.665134563566</v>
      </c>
      <c r="E70" s="834">
        <f>+E66+E67+E68</f>
        <v>10005.678818043076</v>
      </c>
      <c r="F70" s="833">
        <f>+F66+F67+F68</f>
        <v>9200.9277296344462</v>
      </c>
      <c r="G70" s="834">
        <f>+G66+G67+G68</f>
        <v>8510.0255850623125</v>
      </c>
      <c r="H70" s="835">
        <f>+H66+H67+H68</f>
        <v>7918.0392685418228</v>
      </c>
    </row>
    <row r="71" spans="1:10">
      <c r="A71" s="820" t="s">
        <v>26</v>
      </c>
      <c r="B71" s="821" t="s">
        <v>25</v>
      </c>
      <c r="C71" s="830">
        <f>-'EVOLUCIÓN BIENES'!F115/1000</f>
        <v>-11842.651710141397</v>
      </c>
      <c r="D71" s="833">
        <f>+C71+D67</f>
        <v>-12434.638026661887</v>
      </c>
      <c r="E71" s="834">
        <f>+D71+E67</f>
        <v>-13026.624343182377</v>
      </c>
      <c r="F71" s="833">
        <f>+E71+F67</f>
        <v>-13831.375431591006</v>
      </c>
      <c r="G71" s="834">
        <f>+F71+G67</f>
        <v>-14522.27757616314</v>
      </c>
      <c r="H71" s="835">
        <f>+G71+H67</f>
        <v>-15114.26389268363</v>
      </c>
    </row>
    <row r="72" spans="1:10">
      <c r="A72" s="820" t="s">
        <v>35</v>
      </c>
      <c r="B72" s="821" t="s">
        <v>25</v>
      </c>
      <c r="C72" s="834">
        <f t="shared" ref="C72:H72" si="8">+C69+C71</f>
        <v>11189.651451084055</v>
      </c>
      <c r="D72" s="833">
        <f t="shared" si="8"/>
        <v>10597.665134563566</v>
      </c>
      <c r="E72" s="834">
        <f t="shared" si="8"/>
        <v>10005.678818043076</v>
      </c>
      <c r="F72" s="833">
        <f t="shared" si="8"/>
        <v>9200.9277296344462</v>
      </c>
      <c r="G72" s="834">
        <f t="shared" si="8"/>
        <v>8510.0255850623125</v>
      </c>
      <c r="H72" s="835">
        <f t="shared" si="8"/>
        <v>7918.0392685418228</v>
      </c>
    </row>
    <row r="73" spans="1:10">
      <c r="A73" s="820"/>
      <c r="B73" s="821"/>
      <c r="C73" s="822"/>
      <c r="D73" s="836"/>
      <c r="E73" s="822"/>
      <c r="F73" s="836"/>
      <c r="G73" s="822"/>
      <c r="H73" s="837"/>
    </row>
    <row r="74" spans="1:10">
      <c r="A74" s="838" t="s">
        <v>30</v>
      </c>
      <c r="B74" s="821"/>
      <c r="C74" s="822"/>
      <c r="D74" s="836"/>
      <c r="E74" s="822"/>
      <c r="F74" s="836"/>
      <c r="G74" s="822"/>
      <c r="H74" s="837"/>
    </row>
    <row r="75" spans="1:10">
      <c r="A75" s="820" t="s">
        <v>31</v>
      </c>
      <c r="B75" s="821" t="s">
        <v>25</v>
      </c>
      <c r="C75" s="830"/>
      <c r="D75" s="829">
        <f>+'PLAN EXPANSIÓN'!C99*1000</f>
        <v>0</v>
      </c>
      <c r="E75" s="830">
        <f>+'PLAN EXPANSIÓN'!D99*1000</f>
        <v>0</v>
      </c>
      <c r="F75" s="829">
        <f>+'PLAN EXPANSIÓN'!E99*1000</f>
        <v>13227</v>
      </c>
      <c r="G75" s="830">
        <f>+'PLAN EXPANSIÓN'!F99*1000</f>
        <v>6928</v>
      </c>
      <c r="H75" s="831">
        <f>+'PLAN EXPANSIÓN'!G99*1000</f>
        <v>0</v>
      </c>
      <c r="J75" s="233"/>
    </row>
    <row r="76" spans="1:10">
      <c r="A76" s="820" t="s">
        <v>32</v>
      </c>
      <c r="B76" s="821" t="s">
        <v>2</v>
      </c>
      <c r="C76" s="822"/>
      <c r="D76" s="826">
        <v>0.03</v>
      </c>
      <c r="E76" s="827">
        <v>0.03</v>
      </c>
      <c r="F76" s="826">
        <v>0.03</v>
      </c>
      <c r="G76" s="827">
        <v>0.03</v>
      </c>
      <c r="H76" s="828">
        <v>0.03</v>
      </c>
    </row>
    <row r="77" spans="1:10">
      <c r="A77" s="820" t="s">
        <v>28</v>
      </c>
      <c r="B77" s="821" t="s">
        <v>25</v>
      </c>
      <c r="C77" s="830"/>
      <c r="D77" s="829">
        <f>+C79</f>
        <v>0</v>
      </c>
      <c r="E77" s="830">
        <f>+D79</f>
        <v>0</v>
      </c>
      <c r="F77" s="829">
        <f>+E79</f>
        <v>0</v>
      </c>
      <c r="G77" s="830">
        <f>+F79</f>
        <v>13227</v>
      </c>
      <c r="H77" s="831">
        <f>+G79</f>
        <v>19758.190000000002</v>
      </c>
    </row>
    <row r="78" spans="1:10">
      <c r="A78" s="820" t="s">
        <v>27</v>
      </c>
      <c r="B78" s="821" t="s">
        <v>25</v>
      </c>
      <c r="C78" s="832"/>
      <c r="D78" s="829">
        <f>-D76*C80</f>
        <v>0</v>
      </c>
      <c r="E78" s="830">
        <f>-E76*D80</f>
        <v>0</v>
      </c>
      <c r="F78" s="829">
        <f>-F76*E80</f>
        <v>0</v>
      </c>
      <c r="G78" s="830">
        <f>-G76*F80</f>
        <v>-396.81</v>
      </c>
      <c r="H78" s="831">
        <f>-H76*G80</f>
        <v>-604.65</v>
      </c>
    </row>
    <row r="79" spans="1:10">
      <c r="A79" s="820" t="s">
        <v>29</v>
      </c>
      <c r="B79" s="821" t="s">
        <v>25</v>
      </c>
      <c r="C79" s="834">
        <v>0</v>
      </c>
      <c r="D79" s="833">
        <f>+D77+D78+D75</f>
        <v>0</v>
      </c>
      <c r="E79" s="834">
        <f>+E77+E78+E75</f>
        <v>0</v>
      </c>
      <c r="F79" s="833">
        <f>+F77+F78+F75</f>
        <v>13227</v>
      </c>
      <c r="G79" s="834">
        <f>+G77+G78+G75</f>
        <v>19758.190000000002</v>
      </c>
      <c r="H79" s="835">
        <f>+H77+H78+H75</f>
        <v>19153.54</v>
      </c>
    </row>
    <row r="80" spans="1:10">
      <c r="A80" s="820" t="s">
        <v>33</v>
      </c>
      <c r="B80" s="821" t="s">
        <v>25</v>
      </c>
      <c r="C80" s="830">
        <v>0</v>
      </c>
      <c r="D80" s="833">
        <f>+C80+D75</f>
        <v>0</v>
      </c>
      <c r="E80" s="834">
        <f>+D80+E75</f>
        <v>0</v>
      </c>
      <c r="F80" s="833">
        <f>+E80+F75</f>
        <v>13227</v>
      </c>
      <c r="G80" s="834">
        <f>+F80+G75</f>
        <v>20155</v>
      </c>
      <c r="H80" s="835">
        <f>+G80+H75</f>
        <v>20155</v>
      </c>
    </row>
    <row r="81" spans="1:10">
      <c r="A81" s="820" t="s">
        <v>26</v>
      </c>
      <c r="B81" s="821" t="s">
        <v>25</v>
      </c>
      <c r="C81" s="830">
        <v>0</v>
      </c>
      <c r="D81" s="833">
        <f>+C81+D78</f>
        <v>0</v>
      </c>
      <c r="E81" s="834">
        <f>+D81+E78</f>
        <v>0</v>
      </c>
      <c r="F81" s="833">
        <f>+E81+F78</f>
        <v>0</v>
      </c>
      <c r="G81" s="834">
        <f>+F81+G78</f>
        <v>-396.81</v>
      </c>
      <c r="H81" s="835">
        <f>+G81+H78</f>
        <v>-1001.46</v>
      </c>
    </row>
    <row r="82" spans="1:10">
      <c r="A82" s="820" t="s">
        <v>35</v>
      </c>
      <c r="B82" s="821" t="s">
        <v>25</v>
      </c>
      <c r="C82" s="830">
        <v>0</v>
      </c>
      <c r="D82" s="833">
        <f>+D80+D81</f>
        <v>0</v>
      </c>
      <c r="E82" s="834">
        <f>+E80+E81</f>
        <v>0</v>
      </c>
      <c r="F82" s="833">
        <f>+F80+F81</f>
        <v>13227</v>
      </c>
      <c r="G82" s="834">
        <f>+G80+G81</f>
        <v>19758.189999999999</v>
      </c>
      <c r="H82" s="835">
        <f>+H80+H81</f>
        <v>19153.54</v>
      </c>
    </row>
    <row r="83" spans="1:10">
      <c r="A83" s="820"/>
      <c r="B83" s="839"/>
      <c r="C83" s="820"/>
      <c r="D83" s="839"/>
      <c r="E83" s="820"/>
      <c r="F83" s="839"/>
      <c r="G83" s="820"/>
      <c r="H83" s="840"/>
    </row>
    <row r="84" spans="1:10">
      <c r="A84" s="841" t="s">
        <v>40</v>
      </c>
      <c r="B84" s="842" t="s">
        <v>25</v>
      </c>
      <c r="C84" s="843">
        <f t="shared" ref="C84:H84" si="9">+C69+C80</f>
        <v>23032.303161225453</v>
      </c>
      <c r="D84" s="844">
        <f t="shared" si="9"/>
        <v>23032.303161225453</v>
      </c>
      <c r="E84" s="843">
        <f t="shared" si="9"/>
        <v>23032.303161225453</v>
      </c>
      <c r="F84" s="844">
        <f t="shared" si="9"/>
        <v>36259.303161225456</v>
      </c>
      <c r="G84" s="843">
        <f t="shared" si="9"/>
        <v>43187.303161225456</v>
      </c>
      <c r="H84" s="845">
        <f t="shared" si="9"/>
        <v>43187.303161225456</v>
      </c>
      <c r="J84" s="9">
        <f>+SUM(J19:J83)</f>
        <v>0</v>
      </c>
    </row>
    <row r="85" spans="1:10">
      <c r="A85" s="838" t="s">
        <v>41</v>
      </c>
      <c r="B85" s="846" t="s">
        <v>25</v>
      </c>
      <c r="C85" s="847">
        <f t="shared" ref="C85:H85" si="10">+C72+C82</f>
        <v>11189.651451084055</v>
      </c>
      <c r="D85" s="848">
        <f t="shared" si="10"/>
        <v>10597.665134563566</v>
      </c>
      <c r="E85" s="847">
        <f t="shared" si="10"/>
        <v>10005.678818043076</v>
      </c>
      <c r="F85" s="848">
        <f t="shared" si="10"/>
        <v>22427.927729634444</v>
      </c>
      <c r="G85" s="847">
        <f t="shared" si="10"/>
        <v>28268.215585062309</v>
      </c>
      <c r="H85" s="849">
        <f t="shared" si="10"/>
        <v>27071.579268541824</v>
      </c>
    </row>
    <row r="86" spans="1:10">
      <c r="A86" s="850" t="s">
        <v>10</v>
      </c>
      <c r="B86" s="851" t="s">
        <v>25</v>
      </c>
      <c r="C86" s="852">
        <f t="shared" ref="C86:H86" si="11">+C67+C78</f>
        <v>0</v>
      </c>
      <c r="D86" s="853">
        <f t="shared" si="11"/>
        <v>-591.98631652049005</v>
      </c>
      <c r="E86" s="852">
        <f t="shared" si="11"/>
        <v>-591.98631652049005</v>
      </c>
      <c r="F86" s="853">
        <f t="shared" si="11"/>
        <v>-804.75108840862993</v>
      </c>
      <c r="G86" s="852">
        <f t="shared" si="11"/>
        <v>-1087.7121445721336</v>
      </c>
      <c r="H86" s="854">
        <f t="shared" si="11"/>
        <v>-1196.63631652049</v>
      </c>
    </row>
    <row r="88" spans="1:10">
      <c r="A88" s="11" t="s">
        <v>13</v>
      </c>
    </row>
    <row r="90" spans="1:10" ht="28.5" customHeight="1">
      <c r="A90" s="2" t="s">
        <v>34</v>
      </c>
      <c r="B90" s="769" t="s">
        <v>24</v>
      </c>
      <c r="C90" s="2">
        <v>2008</v>
      </c>
      <c r="D90" s="698">
        <f>+C90+1</f>
        <v>2009</v>
      </c>
      <c r="E90" s="2">
        <f>+D90+1</f>
        <v>2010</v>
      </c>
      <c r="F90" s="698">
        <f>+E90+1</f>
        <v>2011</v>
      </c>
      <c r="G90" s="2">
        <f>+F90+1</f>
        <v>2012</v>
      </c>
      <c r="H90" s="699">
        <f>+G90+1</f>
        <v>2013</v>
      </c>
    </row>
    <row r="91" spans="1:10">
      <c r="A91" s="409" t="s">
        <v>32</v>
      </c>
      <c r="B91" s="717" t="s">
        <v>2</v>
      </c>
      <c r="C91" s="409"/>
      <c r="D91" s="758">
        <v>3.5000000000000003E-2</v>
      </c>
      <c r="E91" s="767">
        <v>3.5000000000000003E-2</v>
      </c>
      <c r="F91" s="758">
        <v>3.5000000000000003E-2</v>
      </c>
      <c r="G91" s="767">
        <v>3.5000000000000003E-2</v>
      </c>
      <c r="H91" s="759">
        <v>3.5000000000000003E-2</v>
      </c>
    </row>
    <row r="92" spans="1:10">
      <c r="A92" s="409" t="s">
        <v>221</v>
      </c>
      <c r="B92" s="717" t="s">
        <v>2</v>
      </c>
      <c r="C92" s="409"/>
      <c r="D92" s="758">
        <v>3.5000000000000003E-2</v>
      </c>
      <c r="E92" s="767">
        <v>3.5000000000000003E-2</v>
      </c>
      <c r="F92" s="758">
        <v>3.5000000000000003E-2</v>
      </c>
      <c r="G92" s="767">
        <v>3.5000000000000003E-2</v>
      </c>
      <c r="H92" s="759">
        <v>3.5000000000000003E-2</v>
      </c>
    </row>
    <row r="93" spans="1:10">
      <c r="A93" s="409" t="s">
        <v>222</v>
      </c>
      <c r="B93" s="760" t="s">
        <v>25</v>
      </c>
      <c r="C93" s="409"/>
      <c r="D93" s="761">
        <f>C97</f>
        <v>2000.9</v>
      </c>
      <c r="E93" s="14">
        <f>D97</f>
        <v>2000.9</v>
      </c>
      <c r="F93" s="761">
        <f>E97</f>
        <v>2000.9</v>
      </c>
      <c r="G93" s="14">
        <f>F97</f>
        <v>2000.9</v>
      </c>
      <c r="H93" s="762">
        <f>G97</f>
        <v>2000.9</v>
      </c>
    </row>
    <row r="94" spans="1:10">
      <c r="A94" s="409" t="s">
        <v>28</v>
      </c>
      <c r="B94" s="760" t="s">
        <v>25</v>
      </c>
      <c r="C94" s="704"/>
      <c r="D94" s="761">
        <f>+C98</f>
        <v>549.3154999999997</v>
      </c>
      <c r="E94" s="14">
        <f>+D98</f>
        <v>479.28399999999971</v>
      </c>
      <c r="F94" s="761">
        <f>+E98</f>
        <v>409.25249999999971</v>
      </c>
      <c r="G94" s="14">
        <f>+F98</f>
        <v>339.22099999999972</v>
      </c>
      <c r="H94" s="762">
        <f>+G98</f>
        <v>269.18949999999973</v>
      </c>
    </row>
    <row r="95" spans="1:10">
      <c r="A95" s="409" t="s">
        <v>27</v>
      </c>
      <c r="B95" s="760" t="s">
        <v>25</v>
      </c>
      <c r="C95" s="705"/>
      <c r="D95" s="761">
        <f>-D91*C97</f>
        <v>-70.031500000000008</v>
      </c>
      <c r="E95" s="14">
        <f>-E91*D97</f>
        <v>-70.031500000000008</v>
      </c>
      <c r="F95" s="761">
        <f>-F91*E97</f>
        <v>-70.031500000000008</v>
      </c>
      <c r="G95" s="14">
        <f>-G91*F97</f>
        <v>-70.031500000000008</v>
      </c>
      <c r="H95" s="762">
        <f>-H91*G97</f>
        <v>-70.031500000000008</v>
      </c>
    </row>
    <row r="96" spans="1:10" ht="13.5" thickBot="1">
      <c r="A96" s="409" t="s">
        <v>210</v>
      </c>
      <c r="B96" s="760" t="s">
        <v>25</v>
      </c>
      <c r="C96" s="14"/>
      <c r="D96" s="763"/>
      <c r="E96" s="768"/>
      <c r="F96" s="763"/>
      <c r="G96" s="768"/>
      <c r="H96" s="764"/>
    </row>
    <row r="97" spans="1:8" ht="13.5" thickBot="1">
      <c r="A97" s="409" t="s">
        <v>33</v>
      </c>
      <c r="B97" s="760" t="s">
        <v>25</v>
      </c>
      <c r="C97" s="765">
        <f>+HID!$J$15/1000</f>
        <v>2000.9</v>
      </c>
      <c r="D97" s="78">
        <f>+HID!$J$15/1000</f>
        <v>2000.9</v>
      </c>
      <c r="E97" s="16">
        <f>+HID!$J$15/1000</f>
        <v>2000.9</v>
      </c>
      <c r="F97" s="78">
        <f>+HID!$J$15/1000</f>
        <v>2000.9</v>
      </c>
      <c r="G97" s="16">
        <f>+HID!$J$15/1000</f>
        <v>2000.9</v>
      </c>
      <c r="H97" s="734">
        <f>+HID!$J$15/1000</f>
        <v>2000.9</v>
      </c>
    </row>
    <row r="98" spans="1:8" ht="13.5" thickBot="1">
      <c r="A98" s="409" t="s">
        <v>29</v>
      </c>
      <c r="B98" s="760" t="s">
        <v>25</v>
      </c>
      <c r="C98" s="16">
        <f>+C97+C99</f>
        <v>549.3154999999997</v>
      </c>
      <c r="D98" s="78">
        <f>+D94+D95+D96</f>
        <v>479.28399999999971</v>
      </c>
      <c r="E98" s="16">
        <f>+E94+E95+E96</f>
        <v>409.25249999999971</v>
      </c>
      <c r="F98" s="78">
        <f>+F94+F95+F96</f>
        <v>339.22099999999972</v>
      </c>
      <c r="G98" s="16">
        <f>+G94+G95+G96</f>
        <v>269.18949999999973</v>
      </c>
      <c r="H98" s="734">
        <f>+H94+H95+H96</f>
        <v>199.15799999999973</v>
      </c>
    </row>
    <row r="99" spans="1:8" ht="13.5" thickBot="1">
      <c r="A99" s="409" t="s">
        <v>26</v>
      </c>
      <c r="B99" s="760" t="s">
        <v>25</v>
      </c>
      <c r="C99" s="765">
        <v>-1451.5845000000004</v>
      </c>
      <c r="D99" s="78">
        <f>+C99+D95</f>
        <v>-1521.6160000000004</v>
      </c>
      <c r="E99" s="16">
        <f>+D99+E95</f>
        <v>-1591.6475000000005</v>
      </c>
      <c r="F99" s="78">
        <f>+E99+F95</f>
        <v>-1661.6790000000005</v>
      </c>
      <c r="G99" s="16">
        <f>+F99+G95</f>
        <v>-1731.7105000000006</v>
      </c>
      <c r="H99" s="734">
        <f>+G99+H95</f>
        <v>-1801.7420000000006</v>
      </c>
    </row>
    <row r="100" spans="1:8">
      <c r="A100" s="409" t="s">
        <v>35</v>
      </c>
      <c r="B100" s="760" t="s">
        <v>25</v>
      </c>
      <c r="C100" s="766">
        <f t="shared" ref="C100:H100" si="12">+C97+C99</f>
        <v>549.3154999999997</v>
      </c>
      <c r="D100" s="78">
        <f t="shared" si="12"/>
        <v>479.28399999999965</v>
      </c>
      <c r="E100" s="16">
        <f t="shared" si="12"/>
        <v>409.2524999999996</v>
      </c>
      <c r="F100" s="78">
        <f t="shared" si="12"/>
        <v>339.22099999999955</v>
      </c>
      <c r="G100" s="16">
        <f t="shared" si="12"/>
        <v>269.1894999999995</v>
      </c>
      <c r="H100" s="734">
        <f t="shared" si="12"/>
        <v>199.15799999999945</v>
      </c>
    </row>
    <row r="101" spans="1:8">
      <c r="A101" s="409"/>
      <c r="B101" s="4"/>
      <c r="C101" s="409"/>
      <c r="D101" s="4"/>
      <c r="E101" s="409"/>
      <c r="F101" s="4"/>
      <c r="G101" s="409"/>
      <c r="H101" s="15"/>
    </row>
    <row r="102" spans="1:8">
      <c r="A102" s="709" t="s">
        <v>30</v>
      </c>
      <c r="B102" s="32"/>
      <c r="C102" s="810"/>
      <c r="D102" s="32"/>
      <c r="E102" s="810"/>
      <c r="F102" s="32"/>
      <c r="G102" s="810"/>
      <c r="H102" s="811"/>
    </row>
    <row r="103" spans="1:8">
      <c r="A103" s="810" t="s">
        <v>31</v>
      </c>
      <c r="B103" s="812" t="s">
        <v>25</v>
      </c>
      <c r="C103" s="813"/>
      <c r="D103" s="761"/>
      <c r="E103" s="14"/>
      <c r="F103" s="761"/>
      <c r="G103" s="14"/>
      <c r="H103" s="762"/>
    </row>
    <row r="104" spans="1:8">
      <c r="A104" s="810" t="s">
        <v>32</v>
      </c>
      <c r="B104" s="814" t="s">
        <v>2</v>
      </c>
      <c r="C104" s="810"/>
      <c r="D104" s="758">
        <v>3.5000000000000003E-2</v>
      </c>
      <c r="E104" s="767">
        <v>3.5000000000000003E-2</v>
      </c>
      <c r="F104" s="758">
        <v>3.5000000000000003E-2</v>
      </c>
      <c r="G104" s="767">
        <v>3.5000000000000003E-2</v>
      </c>
      <c r="H104" s="759">
        <v>3.5000000000000003E-2</v>
      </c>
    </row>
    <row r="105" spans="1:8">
      <c r="A105" s="810" t="s">
        <v>28</v>
      </c>
      <c r="B105" s="812" t="s">
        <v>25</v>
      </c>
      <c r="C105" s="813"/>
      <c r="D105" s="761">
        <f>+C107</f>
        <v>0</v>
      </c>
      <c r="E105" s="14">
        <f>+D107</f>
        <v>0</v>
      </c>
      <c r="F105" s="761">
        <f>+E107</f>
        <v>0</v>
      </c>
      <c r="G105" s="14">
        <f>+F107</f>
        <v>0</v>
      </c>
      <c r="H105" s="762">
        <f>+G107</f>
        <v>0</v>
      </c>
    </row>
    <row r="106" spans="1:8">
      <c r="A106" s="810" t="s">
        <v>27</v>
      </c>
      <c r="B106" s="812" t="s">
        <v>25</v>
      </c>
      <c r="C106" s="815"/>
      <c r="D106" s="761">
        <f>-D104*C108</f>
        <v>0</v>
      </c>
      <c r="E106" s="14">
        <f>-E104*D108</f>
        <v>0</v>
      </c>
      <c r="F106" s="761">
        <f>-F104*E108</f>
        <v>0</v>
      </c>
      <c r="G106" s="14">
        <f>-G104*F108</f>
        <v>0</v>
      </c>
      <c r="H106" s="762">
        <f>-H104*G108</f>
        <v>0</v>
      </c>
    </row>
    <row r="107" spans="1:8">
      <c r="A107" s="810" t="s">
        <v>29</v>
      </c>
      <c r="B107" s="812" t="s">
        <v>25</v>
      </c>
      <c r="C107" s="768">
        <v>0</v>
      </c>
      <c r="D107" s="816">
        <f>+D105+D106+D103</f>
        <v>0</v>
      </c>
      <c r="E107" s="766">
        <f>+E105+E106+E103</f>
        <v>0</v>
      </c>
      <c r="F107" s="816">
        <f>+F105+F106+F103</f>
        <v>0</v>
      </c>
      <c r="G107" s="766">
        <f>+G105+G106+G103</f>
        <v>0</v>
      </c>
      <c r="H107" s="817">
        <f>+H105+H106+H103</f>
        <v>0</v>
      </c>
    </row>
    <row r="108" spans="1:8">
      <c r="A108" s="810" t="s">
        <v>33</v>
      </c>
      <c r="B108" s="812" t="s">
        <v>25</v>
      </c>
      <c r="C108" s="813">
        <v>0</v>
      </c>
      <c r="D108" s="816">
        <f>+C108+D103</f>
        <v>0</v>
      </c>
      <c r="E108" s="766">
        <f>+D108+E103</f>
        <v>0</v>
      </c>
      <c r="F108" s="816">
        <f>+E108+F103</f>
        <v>0</v>
      </c>
      <c r="G108" s="766">
        <f>+F108+G103</f>
        <v>0</v>
      </c>
      <c r="H108" s="817">
        <f>+G108+H103</f>
        <v>0</v>
      </c>
    </row>
    <row r="109" spans="1:8">
      <c r="A109" s="810" t="s">
        <v>26</v>
      </c>
      <c r="B109" s="812" t="s">
        <v>25</v>
      </c>
      <c r="C109" s="813">
        <v>0</v>
      </c>
      <c r="D109" s="816">
        <f>+C109+D106</f>
        <v>0</v>
      </c>
      <c r="E109" s="766">
        <f>+D109+E106</f>
        <v>0</v>
      </c>
      <c r="F109" s="816">
        <f>+E109+F106</f>
        <v>0</v>
      </c>
      <c r="G109" s="766">
        <f>+F109+G106</f>
        <v>0</v>
      </c>
      <c r="H109" s="817">
        <f>+G109+H106</f>
        <v>0</v>
      </c>
    </row>
    <row r="110" spans="1:8">
      <c r="A110" s="810" t="s">
        <v>35</v>
      </c>
      <c r="B110" s="812" t="s">
        <v>25</v>
      </c>
      <c r="C110" s="813">
        <v>0</v>
      </c>
      <c r="D110" s="816">
        <f>+D108+D109</f>
        <v>0</v>
      </c>
      <c r="E110" s="766">
        <f>+E108+E109</f>
        <v>0</v>
      </c>
      <c r="F110" s="816">
        <f>+F108+F109</f>
        <v>0</v>
      </c>
      <c r="G110" s="766">
        <f>+G108+G109</f>
        <v>0</v>
      </c>
      <c r="H110" s="817">
        <f>+H108+H109</f>
        <v>0</v>
      </c>
    </row>
    <row r="111" spans="1:8">
      <c r="A111" s="810"/>
      <c r="B111" s="32"/>
      <c r="C111" s="810"/>
      <c r="D111" s="32"/>
      <c r="E111" s="810"/>
      <c r="F111" s="32"/>
      <c r="G111" s="810"/>
      <c r="H111" s="811"/>
    </row>
    <row r="112" spans="1:8">
      <c r="A112" s="771" t="s">
        <v>40</v>
      </c>
      <c r="B112" s="756" t="s">
        <v>25</v>
      </c>
      <c r="C112" s="751">
        <f t="shared" ref="C112:H112" si="13">+C97+C108</f>
        <v>2000.9</v>
      </c>
      <c r="D112" s="750">
        <f t="shared" si="13"/>
        <v>2000.9</v>
      </c>
      <c r="E112" s="751">
        <f t="shared" si="13"/>
        <v>2000.9</v>
      </c>
      <c r="F112" s="750">
        <f t="shared" si="13"/>
        <v>2000.9</v>
      </c>
      <c r="G112" s="751">
        <f t="shared" si="13"/>
        <v>2000.9</v>
      </c>
      <c r="H112" s="757">
        <f t="shared" si="13"/>
        <v>2000.9</v>
      </c>
    </row>
    <row r="113" spans="1:8">
      <c r="A113" s="709" t="s">
        <v>41</v>
      </c>
      <c r="B113" s="723" t="s">
        <v>25</v>
      </c>
      <c r="C113" s="710">
        <f t="shared" ref="C113:H113" si="14">+C100+C110</f>
        <v>549.3154999999997</v>
      </c>
      <c r="D113" s="724">
        <f t="shared" si="14"/>
        <v>479.28399999999965</v>
      </c>
      <c r="E113" s="710">
        <f t="shared" si="14"/>
        <v>409.2524999999996</v>
      </c>
      <c r="F113" s="724">
        <f t="shared" si="14"/>
        <v>339.22099999999955</v>
      </c>
      <c r="G113" s="710">
        <f t="shared" si="14"/>
        <v>269.1894999999995</v>
      </c>
      <c r="H113" s="736">
        <f t="shared" si="14"/>
        <v>199.15799999999945</v>
      </c>
    </row>
    <row r="114" spans="1:8">
      <c r="A114" s="711" t="s">
        <v>10</v>
      </c>
      <c r="B114" s="739" t="s">
        <v>25</v>
      </c>
      <c r="C114" s="712">
        <f t="shared" ref="C114:H114" si="15">+C95+C106</f>
        <v>0</v>
      </c>
      <c r="D114" s="740">
        <f t="shared" si="15"/>
        <v>-70.031500000000008</v>
      </c>
      <c r="E114" s="712">
        <f t="shared" si="15"/>
        <v>-70.031500000000008</v>
      </c>
      <c r="F114" s="740">
        <f t="shared" si="15"/>
        <v>-70.031500000000008</v>
      </c>
      <c r="G114" s="712">
        <f t="shared" si="15"/>
        <v>-70.031500000000008</v>
      </c>
      <c r="H114" s="741">
        <f t="shared" si="15"/>
        <v>-70.031500000000008</v>
      </c>
    </row>
    <row r="116" spans="1:8">
      <c r="A116" s="30" t="s">
        <v>60</v>
      </c>
      <c r="B116" s="21"/>
      <c r="C116" s="1">
        <v>2008</v>
      </c>
      <c r="D116" s="1">
        <f>+C116+1</f>
        <v>2009</v>
      </c>
      <c r="E116" s="1">
        <f>+D116+1</f>
        <v>2010</v>
      </c>
      <c r="F116" s="1">
        <f>+E116+1</f>
        <v>2011</v>
      </c>
      <c r="G116" s="1">
        <f>+F116+1</f>
        <v>2012</v>
      </c>
      <c r="H116" s="1">
        <f>+G116+1</f>
        <v>2013</v>
      </c>
    </row>
    <row r="117" spans="1:8">
      <c r="A117" s="21"/>
      <c r="B117" s="21"/>
      <c r="C117" s="22"/>
      <c r="D117" s="21"/>
      <c r="E117" s="21"/>
      <c r="F117" s="21"/>
      <c r="G117" s="21"/>
      <c r="H117" s="21"/>
    </row>
    <row r="118" spans="1:8">
      <c r="A118" s="770" t="s">
        <v>743</v>
      </c>
      <c r="B118" s="754" t="s">
        <v>25</v>
      </c>
      <c r="C118" s="755">
        <f>+('VNR_ RES'!$E$4)/1000+C182+C123+'BIENES 2008'!D84/1000</f>
        <v>424886.69183745852</v>
      </c>
      <c r="D118" s="755">
        <f>+('VNR_ RES'!$E$4)/1000+D182+D123+'BIENES 2008'!D84/1000</f>
        <v>456675.17482555378</v>
      </c>
      <c r="E118" s="755">
        <f>+('VNR_ RES'!$E$4)/1000+E182+E123+'BIENES 2008'!D84/1000</f>
        <v>469585.88011241314</v>
      </c>
      <c r="F118" s="755">
        <f>+('VNR_ RES'!$E$4)/1000+F182+F123+'BIENES 2008'!D84/1000</f>
        <v>510048.12896521832</v>
      </c>
      <c r="G118" s="755">
        <f>+('VNR_ RES'!$E$4)/1000+G182+G123+'BIENES 2008'!D84/1000</f>
        <v>536480.12896521832</v>
      </c>
      <c r="H118" s="755">
        <f>+('VNR_ RES'!$E$4)/1000+H182+H123+'BIENES 2008'!D84/1000</f>
        <v>537272.12896521832</v>
      </c>
    </row>
    <row r="119" spans="1:8">
      <c r="A119" s="770" t="s">
        <v>744</v>
      </c>
      <c r="B119" s="754"/>
      <c r="C119" s="755">
        <f>+('VNR_ RES'!E9)/1000+C19+C182+'BIENES 2008'!D84/1000</f>
        <v>350738.80400650477</v>
      </c>
      <c r="D119" s="755"/>
      <c r="E119" s="755"/>
      <c r="F119" s="755"/>
      <c r="G119" s="755"/>
      <c r="H119" s="755"/>
    </row>
    <row r="120" spans="1:8">
      <c r="A120" s="770" t="s">
        <v>66</v>
      </c>
      <c r="B120" s="754"/>
      <c r="C120" s="755">
        <f>+'VNR_ RES'!E10/1000</f>
        <v>74147.887830953725</v>
      </c>
      <c r="D120" s="755"/>
      <c r="E120" s="755"/>
      <c r="F120" s="755"/>
      <c r="G120" s="755"/>
      <c r="H120" s="755"/>
    </row>
    <row r="121" spans="1:8">
      <c r="A121" s="770" t="s">
        <v>58</v>
      </c>
      <c r="B121" s="754" t="s">
        <v>25</v>
      </c>
      <c r="C121" s="755">
        <f>+'VNR_ RES'!E5/1000</f>
        <v>31847.854297104881</v>
      </c>
      <c r="D121" s="755">
        <f>C121+D75</f>
        <v>31847.854297104881</v>
      </c>
      <c r="E121" s="755">
        <f>D121+E75</f>
        <v>31847.854297104881</v>
      </c>
      <c r="F121" s="755">
        <f>E121+F75</f>
        <v>45074.854297104881</v>
      </c>
      <c r="G121" s="755">
        <f>F121+G75</f>
        <v>52002.854297104881</v>
      </c>
      <c r="H121" s="755">
        <f>G121+H75</f>
        <v>52002.854297104881</v>
      </c>
    </row>
    <row r="122" spans="1:8">
      <c r="C122" s="9"/>
    </row>
    <row r="123" spans="1:8">
      <c r="A123" s="13" t="s">
        <v>535</v>
      </c>
      <c r="C123" s="9">
        <f>+C19</f>
        <v>0</v>
      </c>
      <c r="D123" s="9">
        <f>+C123+D19+D128</f>
        <v>25383.482988095278</v>
      </c>
      <c r="E123" s="9">
        <f>+D123+E19-D128+C128+E129</f>
        <v>31700.566321428611</v>
      </c>
      <c r="F123" s="9">
        <f>+E123+F19-E129+C129</f>
        <v>70860.566321428603</v>
      </c>
      <c r="G123" s="9">
        <f>+F123+G19</f>
        <v>96699.566321428603</v>
      </c>
      <c r="H123" s="9">
        <f>+G123+H19</f>
        <v>96699.566321428603</v>
      </c>
    </row>
    <row r="124" spans="1:8">
      <c r="C124" s="9"/>
    </row>
    <row r="125" spans="1:8">
      <c r="A125" t="s">
        <v>527</v>
      </c>
      <c r="D125" s="21"/>
      <c r="E125" s="21"/>
      <c r="F125" s="21"/>
      <c r="G125" s="21"/>
    </row>
    <row r="126" spans="1:8">
      <c r="A126" t="s">
        <v>528</v>
      </c>
      <c r="D126" s="21"/>
      <c r="E126" s="21"/>
      <c r="F126" s="21"/>
    </row>
    <row r="127" spans="1:8">
      <c r="B127" s="180" t="s">
        <v>529</v>
      </c>
      <c r="C127" s="180" t="s">
        <v>530</v>
      </c>
      <c r="D127" s="1081" t="s">
        <v>533</v>
      </c>
      <c r="E127" s="1081"/>
      <c r="F127" s="21"/>
      <c r="G127" s="21"/>
    </row>
    <row r="128" spans="1:8">
      <c r="A128" t="s">
        <v>531</v>
      </c>
      <c r="B128" s="181">
        <v>39965</v>
      </c>
      <c r="C128" s="183">
        <f>3.845*1000</f>
        <v>3845</v>
      </c>
      <c r="D128" s="183">
        <f>+C128*7/12</f>
        <v>2242.9166666666665</v>
      </c>
      <c r="E128" s="183"/>
      <c r="F128" s="21"/>
      <c r="G128" s="21"/>
    </row>
    <row r="129" spans="1:13">
      <c r="A129" t="s">
        <v>532</v>
      </c>
      <c r="B129" s="181">
        <v>40360</v>
      </c>
      <c r="C129" s="183">
        <f>8.1*1000</f>
        <v>8100</v>
      </c>
      <c r="D129" s="183"/>
      <c r="E129" s="183">
        <f>+C129*6/12</f>
        <v>4050</v>
      </c>
      <c r="F129" s="21"/>
      <c r="G129" s="21"/>
    </row>
    <row r="130" spans="1:13">
      <c r="A130" s="1" t="s">
        <v>16</v>
      </c>
      <c r="B130" s="182"/>
      <c r="C130" s="184">
        <f>+C129+C128</f>
        <v>11945</v>
      </c>
      <c r="F130" s="21"/>
      <c r="G130" s="21"/>
    </row>
    <row r="132" spans="1:13" ht="15.75">
      <c r="A132" s="103" t="s">
        <v>579</v>
      </c>
    </row>
    <row r="134" spans="1:13" ht="14.25">
      <c r="A134" s="358" t="s">
        <v>581</v>
      </c>
    </row>
    <row r="136" spans="1:13">
      <c r="A136" s="777" t="s">
        <v>542</v>
      </c>
      <c r="B136" s="554"/>
      <c r="C136" s="2">
        <v>2008</v>
      </c>
      <c r="D136" s="2">
        <f>+C136+1</f>
        <v>2009</v>
      </c>
      <c r="E136" s="2">
        <f>+D136+1</f>
        <v>2010</v>
      </c>
      <c r="F136" s="2">
        <f>+E136+1</f>
        <v>2011</v>
      </c>
      <c r="G136" s="2">
        <f>+F136+1</f>
        <v>2012</v>
      </c>
      <c r="H136" s="2">
        <f>+G136+1</f>
        <v>2013</v>
      </c>
    </row>
    <row r="137" spans="1:13">
      <c r="A137" s="554"/>
      <c r="B137" s="554"/>
      <c r="C137" s="778"/>
      <c r="D137" s="778"/>
      <c r="E137" s="778"/>
      <c r="F137" s="778"/>
      <c r="G137" s="778"/>
      <c r="H137" s="778"/>
    </row>
    <row r="138" spans="1:13">
      <c r="A138" s="777" t="s">
        <v>551</v>
      </c>
      <c r="B138" s="554"/>
      <c r="C138" s="779">
        <f t="shared" ref="C138:H138" si="16">+C28+C84</f>
        <v>292248.72111383069</v>
      </c>
      <c r="D138" s="779">
        <f t="shared" si="16"/>
        <v>315389.28743525932</v>
      </c>
      <c r="E138" s="779">
        <f t="shared" si="16"/>
        <v>316054.28743525932</v>
      </c>
      <c r="F138" s="779">
        <f t="shared" si="16"/>
        <v>364391.28743525932</v>
      </c>
      <c r="G138" s="779">
        <f t="shared" si="16"/>
        <v>397158.28743525932</v>
      </c>
      <c r="H138" s="779">
        <f t="shared" si="16"/>
        <v>397158.28743525932</v>
      </c>
      <c r="M138" s="9"/>
    </row>
    <row r="139" spans="1:13">
      <c r="A139" s="777" t="s">
        <v>552</v>
      </c>
      <c r="B139" s="554"/>
      <c r="C139" s="779">
        <f>+C56-'BIENES 2008'!$D$84/1000</f>
        <v>18606.806789999959</v>
      </c>
      <c r="D139" s="779">
        <f>+D56-'BIENES 2008'!$D$84/1000</f>
        <v>25011.806789999955</v>
      </c>
      <c r="E139" s="779">
        <f>+E56-'BIENES 2008'!$D$84/1000</f>
        <v>32482.806789999955</v>
      </c>
      <c r="F139" s="779">
        <f>+F56-'BIENES 2008'!$D$84/1000</f>
        <v>32957.05564280515</v>
      </c>
      <c r="G139" s="779">
        <f>+G56-'BIENES 2008'!$D$84/1000</f>
        <v>33550.05564280515</v>
      </c>
      <c r="H139" s="779">
        <f>+H56-'BIENES 2008'!$D$84/1000</f>
        <v>34342.05564280515</v>
      </c>
      <c r="J139" s="9"/>
    </row>
    <row r="140" spans="1:13">
      <c r="A140" s="777" t="s">
        <v>324</v>
      </c>
      <c r="B140" s="554"/>
      <c r="C140" s="780">
        <f t="shared" ref="C140:H140" si="17">+C139/C138</f>
        <v>6.366770988452887E-2</v>
      </c>
      <c r="D140" s="780">
        <f t="shared" si="17"/>
        <v>7.9304554043022737E-2</v>
      </c>
      <c r="E140" s="784">
        <f t="shared" si="17"/>
        <v>0.10277603589432004</v>
      </c>
      <c r="F140" s="780">
        <f t="shared" si="17"/>
        <v>9.0444137330425514E-2</v>
      </c>
      <c r="G140" s="780">
        <f t="shared" si="17"/>
        <v>8.4475275234623268E-2</v>
      </c>
      <c r="H140" s="780">
        <f t="shared" si="17"/>
        <v>8.6469442359057513E-2</v>
      </c>
    </row>
    <row r="141" spans="1:13">
      <c r="A141" s="777" t="s">
        <v>543</v>
      </c>
      <c r="B141" s="781">
        <v>0.1</v>
      </c>
      <c r="C141" s="779">
        <f t="shared" ref="C141:H141" si="18">+C138*$B$141</f>
        <v>29224.872111383069</v>
      </c>
      <c r="D141" s="779">
        <f t="shared" si="18"/>
        <v>31538.928743525932</v>
      </c>
      <c r="E141" s="779">
        <f t="shared" si="18"/>
        <v>31605.428743525932</v>
      </c>
      <c r="F141" s="779">
        <f t="shared" si="18"/>
        <v>36439.128743525936</v>
      </c>
      <c r="G141" s="779">
        <f t="shared" si="18"/>
        <v>39715.828743525934</v>
      </c>
      <c r="H141" s="779">
        <f t="shared" si="18"/>
        <v>39715.828743525934</v>
      </c>
    </row>
    <row r="142" spans="1:13">
      <c r="A142" s="777" t="s">
        <v>534</v>
      </c>
      <c r="B142" s="554"/>
      <c r="C142" s="782">
        <f t="shared" ref="C142:H142" si="19">+MIN(C139,C141)</f>
        <v>18606.806789999959</v>
      </c>
      <c r="D142" s="783">
        <f t="shared" si="19"/>
        <v>25011.806789999955</v>
      </c>
      <c r="E142" s="783">
        <f t="shared" si="19"/>
        <v>31605.428743525932</v>
      </c>
      <c r="F142" s="783">
        <f t="shared" si="19"/>
        <v>32957.05564280515</v>
      </c>
      <c r="G142" s="783">
        <f t="shared" si="19"/>
        <v>33550.05564280515</v>
      </c>
      <c r="H142" s="783">
        <f t="shared" si="19"/>
        <v>34342.05564280515</v>
      </c>
    </row>
    <row r="144" spans="1:13">
      <c r="A144" s="725" t="s">
        <v>548</v>
      </c>
      <c r="B144" s="4"/>
      <c r="C144" s="4"/>
      <c r="D144" s="4"/>
      <c r="E144" s="4"/>
      <c r="F144" s="4"/>
      <c r="G144" s="4"/>
      <c r="H144" s="4"/>
    </row>
    <row r="145" spans="1:14">
      <c r="A145" s="4"/>
      <c r="B145" s="4"/>
      <c r="C145" s="4"/>
      <c r="D145" s="4"/>
      <c r="E145" s="4"/>
      <c r="F145" s="4"/>
      <c r="G145" s="4"/>
      <c r="H145" s="4"/>
    </row>
    <row r="146" spans="1:14" ht="22.5" customHeight="1">
      <c r="A146" s="559" t="s">
        <v>754</v>
      </c>
      <c r="B146" s="955" t="s">
        <v>24</v>
      </c>
      <c r="C146" s="559">
        <v>2008</v>
      </c>
      <c r="D146" s="956">
        <f>+C146+1</f>
        <v>2009</v>
      </c>
      <c r="E146" s="559">
        <f>+D146+1</f>
        <v>2010</v>
      </c>
      <c r="F146" s="956">
        <f>+E146+1</f>
        <v>2011</v>
      </c>
      <c r="G146" s="559">
        <f>+F146+1</f>
        <v>2012</v>
      </c>
      <c r="H146" s="957">
        <f>+G146+1</f>
        <v>2013</v>
      </c>
    </row>
    <row r="147" spans="1:14">
      <c r="A147" s="810" t="s">
        <v>220</v>
      </c>
      <c r="B147" s="814" t="s">
        <v>2</v>
      </c>
      <c r="C147" s="700"/>
      <c r="D147" s="231">
        <f>+D35</f>
        <v>3.1574570413686193E-2</v>
      </c>
      <c r="E147" s="706">
        <f>(D147*(D149)-D152*D148)/D153</f>
        <v>3.1574570413686193E-2</v>
      </c>
      <c r="F147" s="231">
        <f>(E147*(E149)-E152*E148)/E153</f>
        <v>3.1574570413686193E-2</v>
      </c>
      <c r="G147" s="706">
        <f>(F147*(F149)-F152*F148)/F153</f>
        <v>3.6712659494902489E-2</v>
      </c>
      <c r="H147" s="737">
        <f>(G147*(G149)-G152*G148)/G153</f>
        <v>3.6712659494902489E-2</v>
      </c>
    </row>
    <row r="148" spans="1:14">
      <c r="A148" s="810" t="s">
        <v>221</v>
      </c>
      <c r="B148" s="814" t="s">
        <v>2</v>
      </c>
      <c r="C148" s="700"/>
      <c r="D148" s="232">
        <v>0.02</v>
      </c>
      <c r="E148" s="707">
        <v>0.02</v>
      </c>
      <c r="F148" s="232">
        <v>0.02</v>
      </c>
      <c r="G148" s="707">
        <v>0.02</v>
      </c>
      <c r="H148" s="729">
        <v>0.02</v>
      </c>
    </row>
    <row r="149" spans="1:14">
      <c r="A149" s="810" t="s">
        <v>222</v>
      </c>
      <c r="B149" s="814" t="s">
        <v>25</v>
      </c>
      <c r="C149" s="700"/>
      <c r="D149" s="233">
        <f>C153</f>
        <v>18606.806789999959</v>
      </c>
      <c r="E149" s="701">
        <f>D153</f>
        <v>18606.806789999959</v>
      </c>
      <c r="F149" s="233">
        <f>E153</f>
        <v>18606.806789999959</v>
      </c>
      <c r="G149" s="701">
        <f>F153</f>
        <v>16921.055642805157</v>
      </c>
      <c r="H149" s="730">
        <f>G153</f>
        <v>16921.055642805157</v>
      </c>
    </row>
    <row r="150" spans="1:14">
      <c r="A150" s="810" t="s">
        <v>28</v>
      </c>
      <c r="B150" s="814" t="s">
        <v>25</v>
      </c>
      <c r="C150" s="701"/>
      <c r="D150" s="233">
        <f>+C154</f>
        <v>5007.1910499999649</v>
      </c>
      <c r="E150" s="701">
        <f>+D154</f>
        <v>4419.6891188352565</v>
      </c>
      <c r="F150" s="233">
        <f>+E154</f>
        <v>3832.1871876705486</v>
      </c>
      <c r="G150" s="701">
        <f>+F154</f>
        <v>1558.9341093110393</v>
      </c>
      <c r="H150" s="730">
        <f>+G154</f>
        <v>937.71715520243515</v>
      </c>
    </row>
    <row r="151" spans="1:14">
      <c r="A151" s="810" t="s">
        <v>27</v>
      </c>
      <c r="B151" s="814" t="s">
        <v>25</v>
      </c>
      <c r="C151" s="702"/>
      <c r="D151" s="233">
        <f>-D147*C153</f>
        <v>-587.50193116470803</v>
      </c>
      <c r="E151" s="701">
        <f>-E147*D153</f>
        <v>-587.50193116470803</v>
      </c>
      <c r="F151" s="233">
        <f>-F147*E153</f>
        <v>-587.50193116470803</v>
      </c>
      <c r="G151" s="701">
        <f>-G147*F153</f>
        <v>-621.21695410860411</v>
      </c>
      <c r="H151" s="730">
        <f>-H147*G153</f>
        <v>-621.21695410860411</v>
      </c>
    </row>
    <row r="152" spans="1:14">
      <c r="A152" s="810" t="s">
        <v>210</v>
      </c>
      <c r="B152" s="814" t="s">
        <v>25</v>
      </c>
      <c r="C152" s="701"/>
      <c r="D152" s="235"/>
      <c r="E152" s="703"/>
      <c r="F152" s="235">
        <f>+F40</f>
        <v>-1685.7511471948014</v>
      </c>
      <c r="G152" s="703"/>
      <c r="H152" s="731"/>
    </row>
    <row r="153" spans="1:14">
      <c r="A153" s="810" t="s">
        <v>33</v>
      </c>
      <c r="B153" s="814" t="s">
        <v>25</v>
      </c>
      <c r="C153" s="701">
        <f>+'EVOLUCIÓN BIENES'!$F$89/1000-'BIENES 2008'!D84/1000</f>
        <v>18606.806789999959</v>
      </c>
      <c r="D153" s="235">
        <f>D149+D152</f>
        <v>18606.806789999959</v>
      </c>
      <c r="E153" s="703">
        <f>E149+E152</f>
        <v>18606.806789999959</v>
      </c>
      <c r="F153" s="235">
        <f>F149+F152</f>
        <v>16921.055642805157</v>
      </c>
      <c r="G153" s="703">
        <f>G149+G152</f>
        <v>16921.055642805157</v>
      </c>
      <c r="H153" s="731">
        <f>H149+H152</f>
        <v>16921.055642805157</v>
      </c>
      <c r="K153" s="4"/>
      <c r="L153" s="4"/>
      <c r="M153" s="4"/>
      <c r="N153" s="4"/>
    </row>
    <row r="154" spans="1:14">
      <c r="A154" s="810" t="s">
        <v>29</v>
      </c>
      <c r="B154" s="814" t="s">
        <v>25</v>
      </c>
      <c r="C154" s="703">
        <f>+C153+C155</f>
        <v>5007.1910499999649</v>
      </c>
      <c r="D154" s="235">
        <f>+D150+D151+D152</f>
        <v>4419.6891188352565</v>
      </c>
      <c r="E154" s="703">
        <f>+E150+E151+E152</f>
        <v>3832.1871876705486</v>
      </c>
      <c r="F154" s="235">
        <f>+F150+F151+F152</f>
        <v>1558.9341093110393</v>
      </c>
      <c r="G154" s="703">
        <f>+G150+G151+G152</f>
        <v>937.71715520243515</v>
      </c>
      <c r="H154" s="731">
        <f>+H150+H151+H152</f>
        <v>316.50020109383104</v>
      </c>
      <c r="K154" s="233"/>
      <c r="L154" s="233"/>
      <c r="M154" s="233"/>
      <c r="N154" s="4"/>
    </row>
    <row r="155" spans="1:14">
      <c r="A155" s="810" t="s">
        <v>26</v>
      </c>
      <c r="B155" s="814" t="s">
        <v>25</v>
      </c>
      <c r="C155" s="701">
        <f>-'EVOLUCIÓN BIENES'!$G$89/1000+'BIENES 2008'!E84/1000</f>
        <v>-13599.615739999994</v>
      </c>
      <c r="D155" s="235">
        <f>+C155+D151</f>
        <v>-14187.117671164702</v>
      </c>
      <c r="E155" s="703">
        <f>+D155+E151</f>
        <v>-14774.619602329411</v>
      </c>
      <c r="F155" s="235">
        <f>+E155+F151</f>
        <v>-15362.121533494119</v>
      </c>
      <c r="G155" s="703">
        <f>+F155+G151</f>
        <v>-15983.338487602723</v>
      </c>
      <c r="H155" s="731">
        <f>+G155+H151</f>
        <v>-16604.555441711327</v>
      </c>
      <c r="I155" s="18"/>
      <c r="K155" s="9"/>
    </row>
    <row r="156" spans="1:14">
      <c r="A156" s="810" t="s">
        <v>35</v>
      </c>
      <c r="B156" s="814" t="s">
        <v>25</v>
      </c>
      <c r="C156" s="703">
        <f t="shared" ref="C156:H156" si="20">+C153+C155</f>
        <v>5007.1910499999649</v>
      </c>
      <c r="D156" s="235">
        <f t="shared" si="20"/>
        <v>4419.6891188352565</v>
      </c>
      <c r="E156" s="703">
        <f t="shared" si="20"/>
        <v>3832.1871876705482</v>
      </c>
      <c r="F156" s="235">
        <f t="shared" si="20"/>
        <v>1558.9341093110379</v>
      </c>
      <c r="G156" s="703">
        <f t="shared" si="20"/>
        <v>937.71715520243379</v>
      </c>
      <c r="H156" s="731">
        <f t="shared" si="20"/>
        <v>316.50020109382967</v>
      </c>
      <c r="K156" s="785"/>
    </row>
    <row r="157" spans="1:14">
      <c r="A157" s="810"/>
      <c r="B157" s="814"/>
      <c r="C157" s="700"/>
      <c r="D157" s="230"/>
      <c r="E157" s="700"/>
      <c r="F157" s="230"/>
      <c r="G157" s="700"/>
      <c r="H157" s="732"/>
    </row>
    <row r="158" spans="1:14">
      <c r="A158" s="709" t="s">
        <v>30</v>
      </c>
      <c r="B158" s="814"/>
      <c r="C158" s="700"/>
      <c r="D158" s="230"/>
      <c r="E158" s="700"/>
      <c r="F158" s="230"/>
      <c r="G158" s="700"/>
      <c r="H158" s="732"/>
    </row>
    <row r="159" spans="1:14">
      <c r="A159" s="810" t="s">
        <v>31</v>
      </c>
      <c r="B159" s="814" t="s">
        <v>25</v>
      </c>
      <c r="C159" s="701"/>
      <c r="D159" s="233">
        <f>+'PLAN EXPANSIÓN'!$C$96*1000</f>
        <v>6404.9999999999991</v>
      </c>
      <c r="E159" s="701">
        <f>+'PLAN EXPANSIÓN'!$D$96*1000-E139+E141</f>
        <v>6593.621953525977</v>
      </c>
      <c r="F159" s="701">
        <f>+'PLAN EXPANSIÓN'!$E$96*1000+('PLAN EXPANSIÓN'!D96*1000-6643)</f>
        <v>2987.9999999999986</v>
      </c>
      <c r="G159" s="701">
        <f>'PLAN EXPANSIÓN'!F96*1000</f>
        <v>593</v>
      </c>
      <c r="H159" s="701">
        <f>'PLAN EXPANSIÓN'!G96*1000</f>
        <v>792</v>
      </c>
      <c r="I159" s="855">
        <f>SUM(D159:H159)</f>
        <v>17371.621953525973</v>
      </c>
      <c r="J159" s="9"/>
      <c r="K159" s="9"/>
    </row>
    <row r="160" spans="1:14">
      <c r="A160" s="810" t="s">
        <v>32</v>
      </c>
      <c r="B160" s="814" t="s">
        <v>2</v>
      </c>
      <c r="C160" s="810"/>
      <c r="D160" s="718">
        <v>0.03</v>
      </c>
      <c r="E160" s="708">
        <v>0.03</v>
      </c>
      <c r="F160" s="718">
        <v>0.03</v>
      </c>
      <c r="G160" s="708">
        <v>0.03</v>
      </c>
      <c r="H160" s="733">
        <v>0.03</v>
      </c>
      <c r="K160" s="9"/>
    </row>
    <row r="161" spans="1:22">
      <c r="A161" s="810" t="s">
        <v>28</v>
      </c>
      <c r="B161" s="814" t="s">
        <v>25</v>
      </c>
      <c r="C161" s="813"/>
      <c r="D161" s="761">
        <f>+C163</f>
        <v>0</v>
      </c>
      <c r="E161" s="14">
        <f>+D163</f>
        <v>6404.9999999999991</v>
      </c>
      <c r="F161" s="761">
        <f>+E163</f>
        <v>12806.471953525976</v>
      </c>
      <c r="G161" s="14">
        <f>+F163</f>
        <v>15404.513294920194</v>
      </c>
      <c r="H161" s="762">
        <f>+G163</f>
        <v>15517.914636314415</v>
      </c>
    </row>
    <row r="162" spans="1:22">
      <c r="A162" s="810" t="s">
        <v>27</v>
      </c>
      <c r="B162" s="814" t="s">
        <v>25</v>
      </c>
      <c r="C162" s="815"/>
      <c r="D162" s="761">
        <f>-D160*C164</f>
        <v>0</v>
      </c>
      <c r="E162" s="14">
        <f>-E160*D164</f>
        <v>-192.14999999999998</v>
      </c>
      <c r="F162" s="761">
        <f>-F160*E164</f>
        <v>-389.95865860577931</v>
      </c>
      <c r="G162" s="14">
        <f>-G160*F164</f>
        <v>-479.59865860577924</v>
      </c>
      <c r="H162" s="762">
        <f>-H160*G164</f>
        <v>-497.3886586057792</v>
      </c>
      <c r="J162" s="761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>
      <c r="A163" s="810" t="s">
        <v>29</v>
      </c>
      <c r="B163" s="814" t="s">
        <v>25</v>
      </c>
      <c r="C163" s="768">
        <v>0</v>
      </c>
      <c r="D163" s="816">
        <f>+D161+D162+D159</f>
        <v>6404.9999999999991</v>
      </c>
      <c r="E163" s="766">
        <f>+E161+E162+E159</f>
        <v>12806.471953525976</v>
      </c>
      <c r="F163" s="816">
        <f>+F161+F162+F159</f>
        <v>15404.513294920194</v>
      </c>
      <c r="G163" s="766">
        <f>+G161+G162+G159</f>
        <v>15517.914636314415</v>
      </c>
      <c r="H163" s="817">
        <f>+H161+H162+H159</f>
        <v>15812.525977708636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5">
      <c r="A164" s="810" t="s">
        <v>33</v>
      </c>
      <c r="B164" s="814" t="s">
        <v>25</v>
      </c>
      <c r="C164" s="813">
        <v>0</v>
      </c>
      <c r="D164" s="816">
        <f>+C164+D159</f>
        <v>6404.9999999999991</v>
      </c>
      <c r="E164" s="766">
        <f>+D164+E159</f>
        <v>12998.621953525977</v>
      </c>
      <c r="F164" s="816">
        <f>+E164+F159</f>
        <v>15986.621953525975</v>
      </c>
      <c r="G164" s="766">
        <f>+F164+G159</f>
        <v>16579.621953525973</v>
      </c>
      <c r="H164" s="817">
        <f>+G164+H159</f>
        <v>17371.621953525973</v>
      </c>
      <c r="K164" s="596"/>
      <c r="L164" s="596"/>
      <c r="M164" s="596"/>
      <c r="N164" s="596"/>
      <c r="O164" s="596"/>
      <c r="P164" s="4"/>
      <c r="Q164" s="4"/>
      <c r="R164" s="4"/>
      <c r="S164" s="4"/>
      <c r="T164" s="4"/>
      <c r="U164" s="4"/>
      <c r="V164" s="4"/>
    </row>
    <row r="165" spans="1:22" ht="16.5" customHeight="1">
      <c r="A165" s="810" t="s">
        <v>26</v>
      </c>
      <c r="B165" s="814" t="s">
        <v>25</v>
      </c>
      <c r="C165" s="813">
        <v>0</v>
      </c>
      <c r="D165" s="816">
        <f>+C165+D162</f>
        <v>0</v>
      </c>
      <c r="E165" s="766">
        <f>+D165+E162</f>
        <v>-192.14999999999998</v>
      </c>
      <c r="F165" s="816">
        <f>+E165+F162</f>
        <v>-582.10865860577928</v>
      </c>
      <c r="G165" s="766">
        <f>+F165+G162</f>
        <v>-1061.7073172115586</v>
      </c>
      <c r="H165" s="817">
        <f>+G165+H162</f>
        <v>-1559.0959758173378</v>
      </c>
      <c r="K165" s="597"/>
      <c r="L165" s="598"/>
      <c r="M165" s="597"/>
      <c r="N165" s="599"/>
      <c r="O165" s="600"/>
      <c r="P165" s="4"/>
      <c r="Q165" s="4"/>
      <c r="R165" s="4"/>
      <c r="S165" s="4"/>
      <c r="T165" s="4"/>
      <c r="U165" s="4"/>
      <c r="V165" s="4"/>
    </row>
    <row r="166" spans="1:22" ht="15" customHeight="1">
      <c r="A166" s="810" t="s">
        <v>35</v>
      </c>
      <c r="B166" s="814" t="s">
        <v>25</v>
      </c>
      <c r="C166" s="813">
        <v>0</v>
      </c>
      <c r="D166" s="816">
        <f>+D164+D165</f>
        <v>6404.9999999999991</v>
      </c>
      <c r="E166" s="766">
        <f>+E164+E165</f>
        <v>12806.471953525977</v>
      </c>
      <c r="F166" s="816">
        <f>+F164+F165</f>
        <v>15404.513294920196</v>
      </c>
      <c r="G166" s="766">
        <f>+G164+G165</f>
        <v>15517.914636314415</v>
      </c>
      <c r="H166" s="817">
        <f>+H164+H165</f>
        <v>15812.525977708636</v>
      </c>
      <c r="K166" s="597"/>
      <c r="L166" s="598"/>
      <c r="M166" s="597"/>
      <c r="N166" s="599"/>
      <c r="O166" s="600"/>
      <c r="P166" s="4"/>
      <c r="Q166" s="4"/>
      <c r="R166" s="4"/>
      <c r="S166" s="4"/>
      <c r="T166" s="4"/>
      <c r="U166" s="4"/>
      <c r="V166" s="4"/>
    </row>
    <row r="167" spans="1:22">
      <c r="A167" s="958"/>
      <c r="B167" s="959"/>
      <c r="C167" s="958"/>
      <c r="D167" s="959"/>
      <c r="E167" s="958"/>
      <c r="F167" s="959"/>
      <c r="G167" s="958"/>
      <c r="H167" s="960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>
      <c r="A168" s="771" t="s">
        <v>544</v>
      </c>
      <c r="B168" s="756" t="s">
        <v>25</v>
      </c>
      <c r="C168" s="751">
        <f t="shared" ref="C168:H168" si="21">+C153+C164</f>
        <v>18606.806789999959</v>
      </c>
      <c r="D168" s="750">
        <f t="shared" si="21"/>
        <v>25011.806789999959</v>
      </c>
      <c r="E168" s="751">
        <f t="shared" si="21"/>
        <v>31605.428743525936</v>
      </c>
      <c r="F168" s="750">
        <f t="shared" si="21"/>
        <v>32907.67759633113</v>
      </c>
      <c r="G168" s="751">
        <f t="shared" si="21"/>
        <v>33500.67759633113</v>
      </c>
      <c r="H168" s="757">
        <f t="shared" si="21"/>
        <v>34292.67759633113</v>
      </c>
      <c r="I168" s="9"/>
      <c r="J168" s="9"/>
      <c r="K168" s="7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>
      <c r="A169" s="709" t="s">
        <v>545</v>
      </c>
      <c r="B169" s="723" t="s">
        <v>25</v>
      </c>
      <c r="C169" s="710">
        <f t="shared" ref="C169:H169" si="22">+C156+C166</f>
        <v>5007.1910499999649</v>
      </c>
      <c r="D169" s="724">
        <f t="shared" si="22"/>
        <v>10824.689118835257</v>
      </c>
      <c r="E169" s="710">
        <f t="shared" si="22"/>
        <v>16638.659141196527</v>
      </c>
      <c r="F169" s="724">
        <f t="shared" si="22"/>
        <v>16963.447404231236</v>
      </c>
      <c r="G169" s="710">
        <f t="shared" si="22"/>
        <v>16455.631791516847</v>
      </c>
      <c r="H169" s="736">
        <f t="shared" si="22"/>
        <v>16129.026178802465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>
      <c r="A170" s="711" t="s">
        <v>546</v>
      </c>
      <c r="B170" s="739" t="s">
        <v>25</v>
      </c>
      <c r="C170" s="712">
        <f t="shared" ref="C170:H170" si="23">+C151+C162</f>
        <v>0</v>
      </c>
      <c r="D170" s="740">
        <f t="shared" si="23"/>
        <v>-587.50193116470803</v>
      </c>
      <c r="E170" s="712">
        <f t="shared" si="23"/>
        <v>-779.651931164708</v>
      </c>
      <c r="F170" s="740">
        <f t="shared" si="23"/>
        <v>-977.46058977048733</v>
      </c>
      <c r="G170" s="712">
        <f t="shared" si="23"/>
        <v>-1100.8156127143834</v>
      </c>
      <c r="H170" s="741">
        <f t="shared" si="23"/>
        <v>-1118.6056127143834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3" spans="1:22" hidden="1">
      <c r="A173" s="554"/>
      <c r="B173" s="806" t="s">
        <v>410</v>
      </c>
      <c r="C173" s="807"/>
      <c r="D173" s="807">
        <f>+D168-D142</f>
        <v>0</v>
      </c>
      <c r="E173" s="807">
        <f>+E168-E142</f>
        <v>0</v>
      </c>
      <c r="F173" s="807">
        <f>+F168-F142</f>
        <v>-49.378046474019357</v>
      </c>
      <c r="G173" s="807">
        <f>+G168-G142</f>
        <v>-49.378046474019357</v>
      </c>
      <c r="H173" s="807">
        <f>+H168-H142</f>
        <v>-49.378046474019357</v>
      </c>
    </row>
    <row r="174" spans="1:22">
      <c r="A174" s="554"/>
      <c r="B174" s="554"/>
      <c r="C174" s="554"/>
      <c r="D174" s="554"/>
      <c r="E174" s="554"/>
      <c r="F174" s="554"/>
      <c r="G174" s="554"/>
      <c r="H174" s="554"/>
    </row>
    <row r="175" spans="1:22">
      <c r="A175" s="808" t="s">
        <v>60</v>
      </c>
      <c r="B175" s="778"/>
      <c r="C175" s="2">
        <v>2008</v>
      </c>
      <c r="D175" s="2">
        <f>+C175+1</f>
        <v>2009</v>
      </c>
      <c r="E175" s="2">
        <f>+D175+1</f>
        <v>2010</v>
      </c>
      <c r="F175" s="2">
        <f>+E175+1</f>
        <v>2011</v>
      </c>
      <c r="G175" s="2">
        <f>+F175+1</f>
        <v>2012</v>
      </c>
      <c r="H175" s="2">
        <f>+G175+1</f>
        <v>2013</v>
      </c>
    </row>
    <row r="176" spans="1:22">
      <c r="A176" s="778"/>
      <c r="B176" s="778"/>
      <c r="C176" s="778"/>
      <c r="D176" s="778"/>
      <c r="E176" s="778"/>
      <c r="F176" s="778"/>
      <c r="G176" s="778"/>
      <c r="H176" s="778"/>
    </row>
    <row r="177" spans="1:10">
      <c r="A177" s="559" t="s">
        <v>745</v>
      </c>
      <c r="B177" s="806" t="s">
        <v>25</v>
      </c>
      <c r="C177" s="818">
        <f>'VNR_ RES'!E6/1000+'BIENES 2008'!D84/1000</f>
        <v>438127.73934456345</v>
      </c>
      <c r="D177" s="818">
        <f>+C177+D19+D75</f>
        <v>461268.30566599208</v>
      </c>
      <c r="E177" s="818">
        <f>+D177+E19+E75</f>
        <v>461933.30566599208</v>
      </c>
      <c r="F177" s="818">
        <f>+E177+F19+F75</f>
        <v>510270.30566599208</v>
      </c>
      <c r="G177" s="818">
        <f>+F177+G19+G75</f>
        <v>543037.30566599208</v>
      </c>
      <c r="H177" s="818">
        <f>+G177+H19+H75</f>
        <v>543037.30566599208</v>
      </c>
      <c r="I177" s="9"/>
      <c r="J177" s="9"/>
    </row>
    <row r="178" spans="1:10">
      <c r="A178" s="778"/>
      <c r="B178" s="554"/>
      <c r="C178" s="554"/>
      <c r="D178" s="554"/>
      <c r="E178" s="554"/>
      <c r="F178" s="554"/>
      <c r="G178" s="554"/>
      <c r="H178" s="554"/>
    </row>
    <row r="179" spans="1:10">
      <c r="A179" s="559" t="s">
        <v>323</v>
      </c>
      <c r="B179" s="554"/>
      <c r="C179" s="554"/>
      <c r="D179" s="554"/>
      <c r="E179" s="554"/>
      <c r="F179" s="554"/>
      <c r="G179" s="554"/>
      <c r="H179" s="554"/>
    </row>
    <row r="180" spans="1:10">
      <c r="A180" s="559" t="s">
        <v>580</v>
      </c>
      <c r="B180" s="809">
        <v>0.1</v>
      </c>
      <c r="C180" s="807">
        <f t="shared" ref="C180:H180" si="24">+$B$180*C177</f>
        <v>43812.773934456345</v>
      </c>
      <c r="D180" s="807">
        <f t="shared" si="24"/>
        <v>46126.830566599208</v>
      </c>
      <c r="E180" s="807">
        <f t="shared" si="24"/>
        <v>46193.330566599208</v>
      </c>
      <c r="F180" s="807">
        <f t="shared" si="24"/>
        <v>51027.030566599213</v>
      </c>
      <c r="G180" s="807">
        <f t="shared" si="24"/>
        <v>54303.73056659921</v>
      </c>
      <c r="H180" s="807">
        <f t="shared" si="24"/>
        <v>54303.73056659921</v>
      </c>
    </row>
    <row r="181" spans="1:10">
      <c r="A181" s="559" t="s">
        <v>526</v>
      </c>
      <c r="B181" s="554"/>
      <c r="C181" s="555">
        <f t="shared" ref="C181:H181" si="25">C168</f>
        <v>18606.806789999959</v>
      </c>
      <c r="D181" s="555">
        <f t="shared" si="25"/>
        <v>25011.806789999959</v>
      </c>
      <c r="E181" s="555">
        <f t="shared" si="25"/>
        <v>31605.428743525936</v>
      </c>
      <c r="F181" s="555">
        <f t="shared" si="25"/>
        <v>32907.67759633113</v>
      </c>
      <c r="G181" s="555">
        <f t="shared" si="25"/>
        <v>33500.67759633113</v>
      </c>
      <c r="H181" s="555">
        <f t="shared" si="25"/>
        <v>34292.67759633113</v>
      </c>
    </row>
    <row r="182" spans="1:10">
      <c r="A182" s="559" t="s">
        <v>534</v>
      </c>
      <c r="B182" s="554"/>
      <c r="C182" s="807">
        <f t="shared" ref="C182:H182" si="26">+MIN(C181,C180)</f>
        <v>18606.806789999959</v>
      </c>
      <c r="D182" s="807">
        <f t="shared" si="26"/>
        <v>25011.806789999959</v>
      </c>
      <c r="E182" s="807">
        <f t="shared" si="26"/>
        <v>31605.428743525936</v>
      </c>
      <c r="F182" s="807">
        <f t="shared" si="26"/>
        <v>32907.67759633113</v>
      </c>
      <c r="G182" s="807">
        <f t="shared" si="26"/>
        <v>33500.67759633113</v>
      </c>
      <c r="H182" s="807">
        <f t="shared" si="26"/>
        <v>34292.67759633113</v>
      </c>
    </row>
    <row r="184" spans="1:10" ht="15.75">
      <c r="A184" s="103" t="s">
        <v>570</v>
      </c>
    </row>
    <row r="186" spans="1:10">
      <c r="A186" t="s">
        <v>572</v>
      </c>
    </row>
    <row r="188" spans="1:10" ht="14.25">
      <c r="A188" s="358" t="s">
        <v>758</v>
      </c>
    </row>
    <row r="189" spans="1:10">
      <c r="A189" s="354"/>
    </row>
    <row r="190" spans="1:10">
      <c r="A190" t="s">
        <v>576</v>
      </c>
    </row>
    <row r="191" spans="1:10">
      <c r="A191" s="1" t="s">
        <v>537</v>
      </c>
      <c r="C191" s="99" t="s">
        <v>563</v>
      </c>
    </row>
    <row r="192" spans="1:10">
      <c r="A192" t="s">
        <v>564</v>
      </c>
      <c r="B192" s="353" t="s">
        <v>553</v>
      </c>
      <c r="C192" s="18">
        <v>6439945</v>
      </c>
    </row>
    <row r="193" spans="1:4">
      <c r="A193" t="s">
        <v>565</v>
      </c>
      <c r="B193" s="353" t="s">
        <v>554</v>
      </c>
      <c r="C193" s="18">
        <v>2102450</v>
      </c>
      <c r="D193" s="357">
        <f>+C193/C192</f>
        <v>0.32647017948134649</v>
      </c>
    </row>
    <row r="194" spans="1:4">
      <c r="A194" t="s">
        <v>566</v>
      </c>
      <c r="B194" s="353" t="s">
        <v>567</v>
      </c>
      <c r="C194" s="18">
        <f>+C193+C192</f>
        <v>8542395</v>
      </c>
    </row>
    <row r="195" spans="1:4">
      <c r="A195" t="s">
        <v>482</v>
      </c>
      <c r="B195" s="353" t="s">
        <v>568</v>
      </c>
      <c r="C195" s="18">
        <v>1551019</v>
      </c>
    </row>
    <row r="196" spans="1:4">
      <c r="A196" s="1" t="s">
        <v>85</v>
      </c>
      <c r="B196" s="353" t="s">
        <v>569</v>
      </c>
      <c r="C196" s="25">
        <f>+C195+C194</f>
        <v>10093414</v>
      </c>
    </row>
    <row r="198" spans="1:4" hidden="1">
      <c r="A198" t="s">
        <v>571</v>
      </c>
      <c r="C198" s="10">
        <f>+'PLAN EXPANSIÓN'!$AI$45</f>
        <v>1.7</v>
      </c>
      <c r="D198" t="s">
        <v>530</v>
      </c>
    </row>
    <row r="199" spans="1:4" hidden="1"/>
    <row r="200" spans="1:4" ht="15" hidden="1">
      <c r="A200" s="356" t="s">
        <v>573</v>
      </c>
    </row>
    <row r="201" spans="1:4" ht="15" hidden="1">
      <c r="A201" s="115" t="s">
        <v>83</v>
      </c>
      <c r="B201" s="10"/>
      <c r="C201" s="10"/>
    </row>
    <row r="202" spans="1:4" ht="14.25" hidden="1">
      <c r="A202" s="104" t="s">
        <v>55</v>
      </c>
      <c r="B202" s="355">
        <v>2541709.83</v>
      </c>
      <c r="C202" s="10">
        <v>1</v>
      </c>
      <c r="D202" s="355">
        <f>+C202*B202</f>
        <v>2541709.83</v>
      </c>
    </row>
    <row r="203" spans="1:4" ht="14.25" hidden="1">
      <c r="A203" s="104" t="s">
        <v>395</v>
      </c>
      <c r="B203" s="105">
        <v>10671573.210000042</v>
      </c>
      <c r="C203" s="10">
        <v>0</v>
      </c>
      <c r="D203" s="105">
        <f t="shared" ref="D203:D210" si="27">+C203*B203</f>
        <v>0</v>
      </c>
    </row>
    <row r="204" spans="1:4" ht="14.25" hidden="1">
      <c r="A204" s="104" t="s">
        <v>396</v>
      </c>
      <c r="B204" s="105">
        <v>6748574.2699999856</v>
      </c>
      <c r="C204" s="10">
        <v>0</v>
      </c>
      <c r="D204" s="105">
        <f t="shared" si="27"/>
        <v>0</v>
      </c>
    </row>
    <row r="205" spans="1:4" ht="14.25" hidden="1">
      <c r="A205" s="104" t="s">
        <v>397</v>
      </c>
      <c r="B205" s="105">
        <v>1362026.47</v>
      </c>
      <c r="C205" s="10">
        <v>0</v>
      </c>
      <c r="D205" s="105">
        <f t="shared" si="27"/>
        <v>0</v>
      </c>
    </row>
    <row r="206" spans="1:4" ht="14.25" hidden="1">
      <c r="A206" s="104" t="s">
        <v>398</v>
      </c>
      <c r="B206" s="105">
        <v>4685820.55</v>
      </c>
      <c r="C206" s="10">
        <v>0</v>
      </c>
      <c r="D206" s="105">
        <f t="shared" si="27"/>
        <v>0</v>
      </c>
    </row>
    <row r="207" spans="1:4" ht="14.25" hidden="1">
      <c r="A207" s="104" t="s">
        <v>399</v>
      </c>
      <c r="B207" s="105">
        <v>263541.09999999998</v>
      </c>
      <c r="C207" s="10">
        <v>0</v>
      </c>
      <c r="D207" s="105">
        <f t="shared" si="27"/>
        <v>0</v>
      </c>
    </row>
    <row r="208" spans="1:4" ht="14.25" hidden="1">
      <c r="A208" s="104" t="s">
        <v>400</v>
      </c>
      <c r="B208" s="105">
        <v>6516.28</v>
      </c>
      <c r="C208" s="10">
        <v>0</v>
      </c>
      <c r="D208" s="105">
        <f t="shared" si="27"/>
        <v>0</v>
      </c>
    </row>
    <row r="209" spans="1:4" ht="14.25" hidden="1">
      <c r="A209" s="104" t="s">
        <v>401</v>
      </c>
      <c r="B209" s="105">
        <v>2486138.8399999803</v>
      </c>
      <c r="C209" s="10">
        <v>0</v>
      </c>
      <c r="D209" s="105">
        <f t="shared" si="27"/>
        <v>0</v>
      </c>
    </row>
    <row r="210" spans="1:4" ht="14.25" hidden="1">
      <c r="A210" s="104" t="s">
        <v>402</v>
      </c>
      <c r="B210" s="105">
        <v>551876.79</v>
      </c>
      <c r="C210" s="10">
        <v>0</v>
      </c>
      <c r="D210" s="105">
        <f t="shared" si="27"/>
        <v>0</v>
      </c>
    </row>
    <row r="211" spans="1:4" ht="15" hidden="1">
      <c r="A211" s="356" t="s">
        <v>575</v>
      </c>
      <c r="B211" s="116">
        <f>+SUM(B202:B210)</f>
        <v>29317777.340000011</v>
      </c>
      <c r="D211" s="116">
        <f>+SUM(D202:D210)</f>
        <v>2541709.83</v>
      </c>
    </row>
    <row r="212" spans="1:4" ht="14.25" hidden="1">
      <c r="A212" s="104" t="s">
        <v>574</v>
      </c>
      <c r="D212" s="105">
        <f>+D211*D193</f>
        <v>829792.46438960265</v>
      </c>
    </row>
    <row r="213" spans="1:4" ht="15" hidden="1">
      <c r="A213" s="356" t="s">
        <v>16</v>
      </c>
      <c r="D213" s="116">
        <f>+D212+D211</f>
        <v>3371502.2943896027</v>
      </c>
    </row>
    <row r="214" spans="1:4" hidden="1"/>
    <row r="215" spans="1:4" hidden="1">
      <c r="A215" s="1" t="s">
        <v>578</v>
      </c>
      <c r="D215" s="357">
        <v>0.5</v>
      </c>
    </row>
    <row r="216" spans="1:4" ht="15" hidden="1">
      <c r="A216" s="1" t="s">
        <v>577</v>
      </c>
      <c r="D216" s="116">
        <f>+D215*D213</f>
        <v>1685751.1471948014</v>
      </c>
    </row>
    <row r="217" spans="1:4" hidden="1"/>
    <row r="218" spans="1:4" ht="14.25" hidden="1">
      <c r="A218" s="358"/>
    </row>
    <row r="219" spans="1:4" hidden="1"/>
    <row r="220" spans="1:4" hidden="1"/>
    <row r="221" spans="1:4" hidden="1"/>
    <row r="222" spans="1:4" hidden="1"/>
    <row r="223" spans="1:4" hidden="1"/>
    <row r="224" spans="1:4" hidden="1"/>
    <row r="225" hidden="1"/>
    <row r="226" hidden="1"/>
  </sheetData>
  <sheetProtection password="CC27" sheet="1" formatCells="0" formatColumns="0" formatRows="0" insertColumns="0" insertRows="0" insertHyperlinks="0" deleteColumns="0" deleteRows="0" sort="0" autoFilter="0" pivotTables="0"/>
  <mergeCells count="1">
    <mergeCell ref="D127:E127"/>
  </mergeCells>
  <phoneticPr fontId="0" type="noConversion"/>
  <pageMargins left="0.63" right="0.27" top="0.43" bottom="0.69" header="0" footer="0"/>
  <pageSetup scale="95" orientation="landscape" horizontalDpi="300" verticalDpi="300" r:id="rId1"/>
  <headerFooter alignWithMargins="0">
    <oddHeader>&amp;RACTIVOS</oddHeader>
    <oddFooter>&amp;CIMP ETESA&amp;R&amp;P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28"/>
  <sheetViews>
    <sheetView topLeftCell="A31" zoomScale="75" workbookViewId="0">
      <selection activeCell="C46" sqref="C46"/>
    </sheetView>
  </sheetViews>
  <sheetFormatPr baseColWidth="10" defaultRowHeight="12.75"/>
  <cols>
    <col min="1" max="1" width="6.85546875" style="245" customWidth="1"/>
    <col min="2" max="2" width="44.7109375" style="245" customWidth="1"/>
    <col min="3" max="3" width="16.5703125" style="245" customWidth="1"/>
    <col min="4" max="4" width="20" style="245" customWidth="1"/>
    <col min="5" max="5" width="18.140625" style="245" customWidth="1"/>
    <col min="6" max="6" width="15.28515625" style="245" customWidth="1"/>
    <col min="7" max="7" width="35.140625" style="245" customWidth="1"/>
    <col min="8" max="9" width="21.140625" style="245" customWidth="1"/>
    <col min="10" max="10" width="19.42578125" style="245" customWidth="1"/>
    <col min="11" max="11" width="12.28515625" style="245" customWidth="1"/>
    <col min="12" max="12" width="43" style="245" bestFit="1" customWidth="1"/>
    <col min="13" max="13" width="12.7109375" style="245" bestFit="1" customWidth="1"/>
    <col min="14" max="14" width="17.85546875" style="245" customWidth="1"/>
    <col min="15" max="15" width="15" style="245" bestFit="1" customWidth="1"/>
    <col min="16" max="16" width="16.5703125" style="245" customWidth="1"/>
    <col min="17" max="19" width="11.42578125" style="245"/>
    <col min="20" max="20" width="18.140625" style="245" customWidth="1"/>
    <col min="21" max="16384" width="11.42578125" style="245"/>
  </cols>
  <sheetData>
    <row r="1" spans="2:20">
      <c r="B1" s="347" t="s">
        <v>465</v>
      </c>
    </row>
    <row r="2" spans="2:20">
      <c r="B2" s="264" t="s">
        <v>428</v>
      </c>
    </row>
    <row r="3" spans="2:20" s="239" customFormat="1">
      <c r="B3" s="1102" t="s">
        <v>49</v>
      </c>
      <c r="C3" s="1102"/>
      <c r="D3" s="1102"/>
      <c r="E3" s="1102"/>
      <c r="F3" s="238"/>
      <c r="G3" s="238"/>
      <c r="H3" s="238"/>
      <c r="I3" s="238"/>
      <c r="J3" s="238"/>
      <c r="K3" s="238"/>
      <c r="L3" s="1096" t="s">
        <v>49</v>
      </c>
      <c r="M3" s="1096"/>
      <c r="N3" s="1096"/>
      <c r="O3" s="1096"/>
    </row>
    <row r="4" spans="2:20" s="239" customFormat="1">
      <c r="B4" s="1102" t="s">
        <v>50</v>
      </c>
      <c r="C4" s="1102"/>
      <c r="D4" s="1102"/>
      <c r="E4" s="1102"/>
      <c r="F4" s="238"/>
      <c r="G4" s="1101" t="s">
        <v>224</v>
      </c>
      <c r="H4" s="1101"/>
      <c r="I4" s="1101"/>
      <c r="J4" s="1101"/>
      <c r="K4" s="238"/>
      <c r="L4" s="1096" t="s">
        <v>50</v>
      </c>
      <c r="M4" s="1096"/>
      <c r="N4" s="1096"/>
      <c r="O4" s="1096"/>
    </row>
    <row r="5" spans="2:20" s="239" customFormat="1">
      <c r="B5" s="1102" t="s">
        <v>310</v>
      </c>
      <c r="C5" s="1102"/>
      <c r="D5" s="1102"/>
      <c r="E5" s="1102"/>
      <c r="F5" s="238"/>
      <c r="G5" s="240">
        <v>0.03</v>
      </c>
      <c r="H5" s="240">
        <v>0.04</v>
      </c>
      <c r="I5" s="240">
        <v>0.04</v>
      </c>
      <c r="J5" s="240">
        <v>0.03</v>
      </c>
      <c r="K5" s="241"/>
      <c r="L5" s="1096" t="s">
        <v>310</v>
      </c>
      <c r="M5" s="1096"/>
      <c r="N5" s="1096"/>
      <c r="O5" s="1096"/>
    </row>
    <row r="6" spans="2:20" ht="25.5" customHeight="1" thickBot="1">
      <c r="B6" s="237"/>
      <c r="C6" s="237"/>
      <c r="D6" s="237"/>
      <c r="E6" s="237"/>
      <c r="F6" s="1110" t="s">
        <v>211</v>
      </c>
      <c r="G6" s="1110"/>
      <c r="H6" s="1110"/>
      <c r="I6" s="1110"/>
      <c r="J6" s="1110"/>
      <c r="K6" s="1110"/>
      <c r="L6" s="243"/>
      <c r="M6" s="1111" t="s">
        <v>227</v>
      </c>
      <c r="N6" s="1111"/>
      <c r="O6" s="1111"/>
      <c r="P6" s="244"/>
      <c r="Q6" s="244"/>
      <c r="R6" s="244"/>
      <c r="S6" s="1103" t="s">
        <v>460</v>
      </c>
      <c r="T6" s="1103"/>
    </row>
    <row r="7" spans="2:20" s="239" customFormat="1" ht="54" customHeight="1">
      <c r="B7" s="246" t="s">
        <v>166</v>
      </c>
      <c r="C7" s="242" t="s">
        <v>51</v>
      </c>
      <c r="D7" s="242" t="s">
        <v>167</v>
      </c>
      <c r="E7" s="242" t="s">
        <v>52</v>
      </c>
      <c r="F7" s="242" t="s">
        <v>216</v>
      </c>
      <c r="G7" s="242" t="s">
        <v>212</v>
      </c>
      <c r="H7" s="242" t="s">
        <v>213</v>
      </c>
      <c r="I7" s="242" t="s">
        <v>214</v>
      </c>
      <c r="J7" s="242" t="s">
        <v>215</v>
      </c>
      <c r="K7" s="242" t="s">
        <v>217</v>
      </c>
      <c r="L7" s="247" t="s">
        <v>166</v>
      </c>
      <c r="M7" s="248" t="s">
        <v>51</v>
      </c>
      <c r="N7" s="248" t="s">
        <v>167</v>
      </c>
      <c r="O7" s="248" t="s">
        <v>52</v>
      </c>
      <c r="P7" s="249" t="s">
        <v>228</v>
      </c>
      <c r="Q7" s="238"/>
      <c r="R7" s="238"/>
      <c r="S7" s="250" t="s">
        <v>51</v>
      </c>
      <c r="T7" s="250" t="s">
        <v>167</v>
      </c>
    </row>
    <row r="8" spans="2:20" s="241" customFormat="1">
      <c r="B8" s="239" t="s">
        <v>14</v>
      </c>
      <c r="C8" s="776">
        <f>C35</f>
        <v>22326343.709999997</v>
      </c>
      <c r="D8" s="251">
        <f>D35</f>
        <v>8949278.8699999992</v>
      </c>
      <c r="E8" s="251">
        <f>+C8-D8</f>
        <v>13377064.839999998</v>
      </c>
      <c r="F8" s="252"/>
      <c r="G8" s="252"/>
      <c r="H8" s="252"/>
      <c r="I8" s="252"/>
      <c r="J8" s="252"/>
      <c r="K8" s="253"/>
      <c r="L8" s="241" t="s">
        <v>14</v>
      </c>
      <c r="M8" s="775">
        <f>M35</f>
        <v>21728727.87122545</v>
      </c>
      <c r="N8" s="254">
        <f>N35</f>
        <v>8872993.4901413973</v>
      </c>
      <c r="O8" s="254">
        <f>+M8-N8</f>
        <v>12855734.381084053</v>
      </c>
      <c r="P8" s="255">
        <f>1-M8/C8</f>
        <v>2.6767295466604946E-2</v>
      </c>
      <c r="Q8" s="255">
        <f>1-N8/D8</f>
        <v>8.5241929508228509E-3</v>
      </c>
      <c r="S8" s="775">
        <f>+M8-C8</f>
        <v>-597615.83877454698</v>
      </c>
      <c r="T8" s="256">
        <f>+N8-D8</f>
        <v>-76285.379858601838</v>
      </c>
    </row>
    <row r="9" spans="2:20" s="241" customFormat="1" ht="13.5" thickBot="1">
      <c r="B9" s="241" t="s">
        <v>18</v>
      </c>
      <c r="C9" s="257">
        <f>C79</f>
        <v>210983340.40000001</v>
      </c>
      <c r="D9" s="257">
        <f>D79</f>
        <v>73919105.619999975</v>
      </c>
      <c r="E9" s="257">
        <f>+C9-D9</f>
        <v>137064234.78000003</v>
      </c>
      <c r="F9" s="252"/>
      <c r="G9" s="252"/>
      <c r="H9" s="252"/>
      <c r="I9" s="252"/>
      <c r="J9" s="252"/>
      <c r="K9" s="253"/>
      <c r="L9" s="241" t="s">
        <v>18</v>
      </c>
      <c r="M9" s="257">
        <f>M79</f>
        <v>205614078.57435665</v>
      </c>
      <c r="N9" s="257">
        <f>N79</f>
        <v>73555165.883951053</v>
      </c>
      <c r="O9" s="257">
        <f>+M9-N9</f>
        <v>132058912.69040559</v>
      </c>
      <c r="P9" s="258">
        <f>1-M9/C9</f>
        <v>2.5448747827500839E-2</v>
      </c>
      <c r="Q9" s="258">
        <f>1-N9/D9</f>
        <v>4.923486735890048E-3</v>
      </c>
      <c r="S9" s="256">
        <f>+M9-C9</f>
        <v>-5369261.8256433606</v>
      </c>
      <c r="T9" s="256">
        <f>+N9-D9</f>
        <v>-363939.73604892194</v>
      </c>
    </row>
    <row r="10" spans="2:20">
      <c r="B10" s="259" t="s">
        <v>168</v>
      </c>
      <c r="C10" s="260">
        <f>SUM(C8:C9)</f>
        <v>233309684.11000001</v>
      </c>
      <c r="D10" s="260">
        <f>SUM(D8:D9)</f>
        <v>82868384.48999998</v>
      </c>
      <c r="E10" s="260">
        <f>SUM(E8:E9)</f>
        <v>150441299.62000003</v>
      </c>
      <c r="F10" s="252"/>
      <c r="G10" s="252"/>
      <c r="H10" s="252"/>
      <c r="I10" s="252"/>
      <c r="J10" s="252"/>
      <c r="K10" s="253"/>
      <c r="L10" s="259" t="s">
        <v>168</v>
      </c>
      <c r="M10" s="260">
        <f>SUM(M8:M9)</f>
        <v>227342806.44558209</v>
      </c>
      <c r="N10" s="260">
        <f>SUM(N8:N9)</f>
        <v>82428159.374092445</v>
      </c>
      <c r="O10" s="260">
        <f>SUM(O8:O9)</f>
        <v>144914647.07148963</v>
      </c>
    </row>
    <row r="11" spans="2:20" s="241" customFormat="1">
      <c r="B11" s="245" t="s">
        <v>54</v>
      </c>
      <c r="C11" s="261">
        <f>+C90</f>
        <v>3289000.8200000003</v>
      </c>
      <c r="D11" s="261">
        <f>+D90</f>
        <v>1828046.63</v>
      </c>
      <c r="E11" s="261">
        <f>+C11-D11</f>
        <v>1460954.1900000004</v>
      </c>
      <c r="F11" s="252"/>
      <c r="G11" s="252"/>
      <c r="H11" s="252"/>
      <c r="I11" s="252"/>
      <c r="J11" s="252"/>
      <c r="K11" s="253"/>
      <c r="L11" s="241" t="s">
        <v>54</v>
      </c>
      <c r="M11" s="262">
        <f>C90</f>
        <v>3289000.8200000003</v>
      </c>
      <c r="N11" s="262">
        <f>D90</f>
        <v>1828046.63</v>
      </c>
      <c r="O11" s="254">
        <f>+M11-N11</f>
        <v>1460954.1900000004</v>
      </c>
    </row>
    <row r="12" spans="2:20" s="241" customFormat="1">
      <c r="B12" s="241" t="s">
        <v>83</v>
      </c>
      <c r="C12" s="254">
        <f>+C103</f>
        <v>25689970.399999999</v>
      </c>
      <c r="D12" s="254">
        <f>+D103</f>
        <v>13084915.17</v>
      </c>
      <c r="E12" s="254">
        <f>+C12-D12</f>
        <v>12605055.229999999</v>
      </c>
      <c r="F12" s="252"/>
      <c r="G12" s="252"/>
      <c r="H12" s="252"/>
      <c r="I12" s="252"/>
      <c r="J12" s="252"/>
      <c r="K12" s="253"/>
      <c r="L12" s="241" t="s">
        <v>83</v>
      </c>
      <c r="M12" s="262">
        <f>+M103</f>
        <v>25689970.399999999</v>
      </c>
      <c r="N12" s="254">
        <f>+N103</f>
        <v>13084915.17</v>
      </c>
      <c r="O12" s="254">
        <f>+M12-N12</f>
        <v>12605055.229999999</v>
      </c>
    </row>
    <row r="13" spans="2:20" s="241" customFormat="1">
      <c r="B13" s="241" t="s">
        <v>53</v>
      </c>
      <c r="C13" s="254">
        <f>+C112</f>
        <v>6355741.6799999997</v>
      </c>
      <c r="D13" s="254">
        <f>+D112</f>
        <v>2272634.3199999998</v>
      </c>
      <c r="E13" s="254">
        <f>+C13-D13</f>
        <v>4083107.36</v>
      </c>
      <c r="F13" s="252"/>
      <c r="G13" s="252"/>
      <c r="H13" s="252"/>
      <c r="I13" s="252"/>
      <c r="J13" s="252"/>
      <c r="K13" s="253"/>
      <c r="L13" s="241" t="s">
        <v>53</v>
      </c>
      <c r="M13" s="262">
        <f>+M112</f>
        <v>6355741.6799999997</v>
      </c>
      <c r="N13" s="254">
        <f>+N112</f>
        <v>2272634.3199999998</v>
      </c>
      <c r="O13" s="254">
        <f>+M13-N13</f>
        <v>4083107.36</v>
      </c>
    </row>
    <row r="14" spans="2:20" s="241" customFormat="1" ht="13.5" thickBot="1">
      <c r="B14" s="241" t="s">
        <v>169</v>
      </c>
      <c r="C14" s="257">
        <f>+C117</f>
        <v>8123304.8900000006</v>
      </c>
      <c r="D14" s="257">
        <f>+D117</f>
        <v>3375590.93</v>
      </c>
      <c r="E14" s="257">
        <f>+C14-D14</f>
        <v>4747713.9600000009</v>
      </c>
      <c r="F14" s="252"/>
      <c r="G14" s="252"/>
      <c r="H14" s="252"/>
      <c r="I14" s="252"/>
      <c r="J14" s="252"/>
      <c r="K14" s="253"/>
      <c r="L14" s="241" t="s">
        <v>169</v>
      </c>
      <c r="M14" s="263">
        <f>+M117</f>
        <v>8123304.8900000006</v>
      </c>
      <c r="N14" s="257">
        <f>+N117</f>
        <v>3375590.93</v>
      </c>
      <c r="O14" s="257">
        <f>+M14-N14</f>
        <v>4747713.9600000009</v>
      </c>
    </row>
    <row r="15" spans="2:20" ht="13.5" thickBot="1">
      <c r="B15" s="264" t="s">
        <v>170</v>
      </c>
      <c r="C15" s="265">
        <f>SUM(C10:C14)</f>
        <v>276767701.89999998</v>
      </c>
      <c r="D15" s="265">
        <f>SUM(D10:D14)</f>
        <v>103429571.53999998</v>
      </c>
      <c r="E15" s="265">
        <f>SUM(E10:E14)</f>
        <v>173338130.36000004</v>
      </c>
      <c r="F15" s="252"/>
      <c r="G15" s="252"/>
      <c r="H15" s="252"/>
      <c r="I15" s="252"/>
      <c r="J15" s="252"/>
      <c r="K15" s="253"/>
      <c r="L15" s="264" t="s">
        <v>170</v>
      </c>
      <c r="M15" s="265">
        <f>SUM(M10:M14)</f>
        <v>270800824.23558211</v>
      </c>
      <c r="N15" s="265">
        <f>SUM(N10:N14)</f>
        <v>102989346.42409244</v>
      </c>
      <c r="O15" s="265">
        <f>SUM(O10:O14)</f>
        <v>167811477.81148964</v>
      </c>
    </row>
    <row r="16" spans="2:20" s="241" customFormat="1" ht="13.5" thickTop="1">
      <c r="B16" s="245"/>
      <c r="C16" s="266"/>
      <c r="D16" s="261"/>
      <c r="E16" s="266"/>
      <c r="F16" s="252"/>
      <c r="G16" s="252"/>
      <c r="H16" s="252"/>
      <c r="I16" s="252"/>
      <c r="J16" s="252"/>
      <c r="K16" s="253"/>
      <c r="M16" s="254"/>
      <c r="N16" s="254"/>
      <c r="O16" s="254"/>
    </row>
    <row r="17" spans="2:15" s="238" customFormat="1">
      <c r="B17" s="267" t="s">
        <v>14</v>
      </c>
      <c r="C17" s="268"/>
      <c r="D17" s="268"/>
      <c r="E17" s="268"/>
      <c r="F17" s="252"/>
      <c r="G17" s="252"/>
      <c r="H17" s="252"/>
      <c r="I17" s="252"/>
      <c r="J17" s="252"/>
      <c r="K17" s="253"/>
      <c r="L17" s="267" t="s">
        <v>14</v>
      </c>
      <c r="M17" s="268"/>
      <c r="N17" s="268"/>
      <c r="O17" s="268"/>
    </row>
    <row r="18" spans="2:15" s="271" customFormat="1">
      <c r="B18" s="269" t="s">
        <v>171</v>
      </c>
      <c r="C18" s="270"/>
      <c r="D18" s="270"/>
      <c r="E18" s="270"/>
      <c r="F18" s="252"/>
      <c r="G18" s="252"/>
      <c r="H18" s="252"/>
      <c r="I18" s="252"/>
      <c r="J18" s="252"/>
      <c r="K18" s="253"/>
      <c r="L18" s="269" t="s">
        <v>171</v>
      </c>
      <c r="M18" s="270"/>
      <c r="N18" s="270"/>
      <c r="O18" s="270"/>
    </row>
    <row r="19" spans="2:15" s="274" customFormat="1">
      <c r="B19" s="272" t="s">
        <v>172</v>
      </c>
      <c r="C19" s="273"/>
      <c r="D19" s="273"/>
      <c r="E19" s="273"/>
      <c r="F19" s="252"/>
      <c r="G19" s="252"/>
      <c r="H19" s="252"/>
      <c r="I19" s="252"/>
      <c r="J19" s="252"/>
      <c r="K19" s="253"/>
      <c r="L19" s="272" t="s">
        <v>172</v>
      </c>
      <c r="M19" s="273"/>
      <c r="N19" s="273"/>
      <c r="O19" s="273"/>
    </row>
    <row r="20" spans="2:15" s="241" customFormat="1">
      <c r="B20" s="274" t="s">
        <v>173</v>
      </c>
      <c r="C20" s="275">
        <v>5763370.9299999997</v>
      </c>
      <c r="D20" s="275">
        <v>735691.58</v>
      </c>
      <c r="E20" s="254">
        <f>+C20-D20</f>
        <v>5027679.3499999996</v>
      </c>
      <c r="F20" s="252">
        <v>0.27300000000000002</v>
      </c>
      <c r="G20" s="252">
        <v>0</v>
      </c>
      <c r="H20" s="252">
        <f>0.074-H$5</f>
        <v>3.3999999999999996E-2</v>
      </c>
      <c r="I20" s="252">
        <f>0.131-I$5</f>
        <v>9.0999999999999998E-2</v>
      </c>
      <c r="J20" s="252">
        <f>0.037-J$5</f>
        <v>6.9999999999999993E-3</v>
      </c>
      <c r="K20" s="253">
        <f>F20-SUM(G20:J20)</f>
        <v>0.14100000000000001</v>
      </c>
      <c r="L20" s="241" t="s">
        <v>173</v>
      </c>
      <c r="M20" s="276">
        <f t="shared" ref="M20:N23" si="0">C20*($K20+1)/($F20+1)</f>
        <v>5165755.0912254509</v>
      </c>
      <c r="N20" s="276">
        <f t="shared" si="0"/>
        <v>659406.20014139812</v>
      </c>
      <c r="O20" s="277">
        <f>+M20-N20</f>
        <v>4506348.8910840526</v>
      </c>
    </row>
    <row r="21" spans="2:15" s="241" customFormat="1">
      <c r="B21" s="241" t="s">
        <v>179</v>
      </c>
      <c r="C21" s="275">
        <v>4277895.22</v>
      </c>
      <c r="D21" s="275">
        <v>2173663.17</v>
      </c>
      <c r="E21" s="254">
        <f>+C21-D21</f>
        <v>2104232.0499999998</v>
      </c>
      <c r="F21" s="278"/>
      <c r="G21" s="252"/>
      <c r="H21" s="252"/>
      <c r="I21" s="252"/>
      <c r="J21" s="252"/>
      <c r="K21" s="278"/>
      <c r="L21" s="241" t="s">
        <v>179</v>
      </c>
      <c r="M21" s="276">
        <f>C21*($K21+1)/($F21+1)</f>
        <v>4277895.22</v>
      </c>
      <c r="N21" s="276">
        <f>D21*($K21+1)/($F21+1)</f>
        <v>2173663.17</v>
      </c>
      <c r="O21" s="277">
        <f>+M21-N21</f>
        <v>2104232.0499999998</v>
      </c>
    </row>
    <row r="22" spans="2:15" s="241" customFormat="1">
      <c r="B22" s="241" t="s">
        <v>175</v>
      </c>
      <c r="C22" s="275">
        <v>992741.91</v>
      </c>
      <c r="D22" s="275">
        <v>507920.66</v>
      </c>
      <c r="E22" s="254">
        <f>+C22-D22</f>
        <v>484821.25000000006</v>
      </c>
      <c r="F22" s="278"/>
      <c r="G22" s="252"/>
      <c r="H22" s="252"/>
      <c r="I22" s="252"/>
      <c r="J22" s="252"/>
      <c r="K22" s="278"/>
      <c r="L22" s="241" t="s">
        <v>175</v>
      </c>
      <c r="M22" s="276">
        <f>C22*($K22+1)/($F22+1)</f>
        <v>992741.91</v>
      </c>
      <c r="N22" s="276">
        <f>D22*($K22+1)/($F22+1)</f>
        <v>507920.66</v>
      </c>
      <c r="O22" s="277">
        <f>+M22-N22</f>
        <v>484821.25000000006</v>
      </c>
    </row>
    <row r="23" spans="2:15" s="241" customFormat="1">
      <c r="B23" s="279" t="s">
        <v>174</v>
      </c>
      <c r="C23" s="275">
        <v>1347880.03</v>
      </c>
      <c r="D23" s="275">
        <v>702206.38</v>
      </c>
      <c r="E23" s="254">
        <f>+C23-D23</f>
        <v>645673.65</v>
      </c>
      <c r="F23" s="252"/>
      <c r="G23" s="252"/>
      <c r="H23" s="252"/>
      <c r="I23" s="252"/>
      <c r="J23" s="252"/>
      <c r="K23" s="253"/>
      <c r="L23" s="279" t="s">
        <v>174</v>
      </c>
      <c r="M23" s="276">
        <f t="shared" si="0"/>
        <v>1347880.03</v>
      </c>
      <c r="N23" s="276">
        <f t="shared" si="0"/>
        <v>702206.38</v>
      </c>
      <c r="O23" s="277">
        <f>+M23-N23</f>
        <v>645673.65</v>
      </c>
    </row>
    <row r="24" spans="2:15" s="274" customFormat="1">
      <c r="B24" s="272" t="s">
        <v>176</v>
      </c>
      <c r="C24" s="275"/>
      <c r="D24" s="275"/>
      <c r="E24" s="254"/>
      <c r="F24" s="252"/>
      <c r="G24" s="252"/>
      <c r="H24" s="252"/>
      <c r="I24" s="252"/>
      <c r="J24" s="252"/>
      <c r="K24" s="278"/>
      <c r="L24" s="272" t="s">
        <v>176</v>
      </c>
      <c r="M24" s="280"/>
      <c r="N24" s="281"/>
      <c r="O24" s="281"/>
    </row>
    <row r="25" spans="2:15" s="241" customFormat="1">
      <c r="B25" s="274" t="s">
        <v>178</v>
      </c>
      <c r="C25" s="275">
        <v>5198137.3499999996</v>
      </c>
      <c r="D25" s="275">
        <v>2696677.64</v>
      </c>
      <c r="E25" s="254">
        <f>+C25-D25</f>
        <v>2501459.7099999995</v>
      </c>
      <c r="F25" s="252"/>
      <c r="G25" s="252"/>
      <c r="H25" s="252"/>
      <c r="I25" s="252"/>
      <c r="J25" s="252"/>
      <c r="K25" s="276"/>
      <c r="L25" s="241" t="s">
        <v>178</v>
      </c>
      <c r="M25" s="276">
        <f t="shared" ref="M25:N28" si="1">C25*($K25+1)/($F25+1)</f>
        <v>5198137.3499999996</v>
      </c>
      <c r="N25" s="276">
        <f t="shared" si="1"/>
        <v>2696677.64</v>
      </c>
      <c r="O25" s="277">
        <f>+M25-N25</f>
        <v>2501459.7099999995</v>
      </c>
    </row>
    <row r="26" spans="2:15" s="241" customFormat="1">
      <c r="B26" s="241" t="s">
        <v>179</v>
      </c>
      <c r="C26" s="275">
        <v>719864.56</v>
      </c>
      <c r="D26" s="275">
        <v>365239.05</v>
      </c>
      <c r="E26" s="254">
        <f>+C26-D26</f>
        <v>354625.51000000007</v>
      </c>
      <c r="F26" s="252"/>
      <c r="G26" s="252"/>
      <c r="H26" s="252"/>
      <c r="I26" s="252"/>
      <c r="J26" s="252"/>
      <c r="K26" s="253"/>
      <c r="L26" s="241" t="s">
        <v>179</v>
      </c>
      <c r="M26" s="276">
        <f t="shared" si="1"/>
        <v>719864.56</v>
      </c>
      <c r="N26" s="276">
        <f t="shared" si="1"/>
        <v>365239.05</v>
      </c>
      <c r="O26" s="277">
        <f>+M26-N26</f>
        <v>354625.51000000007</v>
      </c>
    </row>
    <row r="27" spans="2:15" s="241" customFormat="1">
      <c r="B27" s="241" t="s">
        <v>177</v>
      </c>
      <c r="C27" s="275">
        <f>363653.97+6259.49</f>
        <v>369913.45999999996</v>
      </c>
      <c r="D27" s="275">
        <f>49468.55+14.9</f>
        <v>49483.450000000004</v>
      </c>
      <c r="E27" s="254">
        <f>+C27-D27</f>
        <v>320430.00999999995</v>
      </c>
      <c r="F27" s="252"/>
      <c r="G27" s="252"/>
      <c r="H27" s="252"/>
      <c r="I27" s="252"/>
      <c r="J27" s="252"/>
      <c r="K27" s="253"/>
      <c r="L27" s="241" t="s">
        <v>177</v>
      </c>
      <c r="M27" s="276">
        <f t="shared" si="1"/>
        <v>369913.45999999996</v>
      </c>
      <c r="N27" s="276">
        <f t="shared" si="1"/>
        <v>49483.450000000004</v>
      </c>
      <c r="O27" s="277">
        <f>+M27-N27</f>
        <v>320430.00999999995</v>
      </c>
    </row>
    <row r="28" spans="2:15" s="241" customFormat="1">
      <c r="B28" s="279" t="s">
        <v>175</v>
      </c>
      <c r="C28" s="275">
        <v>456377.7</v>
      </c>
      <c r="D28" s="275">
        <v>233530.95</v>
      </c>
      <c r="E28" s="254">
        <f>+C28-D28</f>
        <v>222846.75</v>
      </c>
      <c r="F28" s="252"/>
      <c r="G28" s="252"/>
      <c r="H28" s="252"/>
      <c r="I28" s="252"/>
      <c r="J28" s="252"/>
      <c r="K28" s="253"/>
      <c r="L28" s="279" t="s">
        <v>175</v>
      </c>
      <c r="M28" s="276">
        <f t="shared" si="1"/>
        <v>456377.7</v>
      </c>
      <c r="N28" s="276">
        <f t="shared" si="1"/>
        <v>233530.95</v>
      </c>
      <c r="O28" s="277">
        <f>+M28-N28</f>
        <v>222846.75</v>
      </c>
    </row>
    <row r="29" spans="2:15" s="285" customFormat="1">
      <c r="B29" s="282" t="s">
        <v>180</v>
      </c>
      <c r="C29" s="275"/>
      <c r="D29" s="275"/>
      <c r="E29" s="254"/>
      <c r="F29" s="252"/>
      <c r="G29" s="252"/>
      <c r="H29" s="252"/>
      <c r="I29" s="252"/>
      <c r="J29" s="252"/>
      <c r="K29" s="253"/>
      <c r="L29" s="282" t="s">
        <v>180</v>
      </c>
      <c r="M29" s="283"/>
      <c r="N29" s="284"/>
      <c r="O29" s="284"/>
    </row>
    <row r="30" spans="2:15" s="274" customFormat="1">
      <c r="B30" s="272" t="s">
        <v>172</v>
      </c>
      <c r="C30" s="275"/>
      <c r="D30" s="275"/>
      <c r="E30" s="254"/>
      <c r="F30" s="252"/>
      <c r="G30" s="252"/>
      <c r="H30" s="252"/>
      <c r="I30" s="252"/>
      <c r="J30" s="252"/>
      <c r="K30" s="253"/>
      <c r="L30" s="272" t="s">
        <v>172</v>
      </c>
      <c r="M30" s="280"/>
      <c r="N30" s="281"/>
      <c r="O30" s="281"/>
    </row>
    <row r="31" spans="2:15" s="241" customFormat="1">
      <c r="B31" s="274" t="s">
        <v>235</v>
      </c>
      <c r="C31" s="275">
        <v>562710</v>
      </c>
      <c r="D31" s="275">
        <v>253407.34</v>
      </c>
      <c r="E31" s="254">
        <f>+C31-D31</f>
        <v>309302.66000000003</v>
      </c>
      <c r="F31" s="252"/>
      <c r="G31" s="252"/>
      <c r="H31" s="252"/>
      <c r="I31" s="252"/>
      <c r="J31" s="252"/>
      <c r="K31" s="253"/>
      <c r="L31" s="241" t="s">
        <v>235</v>
      </c>
      <c r="M31" s="276">
        <f t="shared" ref="M31:N34" si="2">C31*($K31+1)/($F31+1)</f>
        <v>562710</v>
      </c>
      <c r="N31" s="276">
        <f t="shared" si="2"/>
        <v>253407.34</v>
      </c>
      <c r="O31" s="277">
        <f>+M31-N31</f>
        <v>309302.66000000003</v>
      </c>
    </row>
    <row r="32" spans="2:15" s="241" customFormat="1">
      <c r="B32" s="241" t="s">
        <v>236</v>
      </c>
      <c r="C32" s="275">
        <v>787489.69</v>
      </c>
      <c r="D32" s="275">
        <v>82665.179999999993</v>
      </c>
      <c r="E32" s="254">
        <f>+C32-D32</f>
        <v>704824.51</v>
      </c>
      <c r="F32" s="252"/>
      <c r="G32" s="252"/>
      <c r="H32" s="252"/>
      <c r="I32" s="252"/>
      <c r="J32" s="252"/>
      <c r="K32" s="253"/>
      <c r="L32" s="241" t="s">
        <v>236</v>
      </c>
      <c r="M32" s="276">
        <f t="shared" si="2"/>
        <v>787489.69</v>
      </c>
      <c r="N32" s="276">
        <f t="shared" si="2"/>
        <v>82665.179999999993</v>
      </c>
      <c r="O32" s="277">
        <f>+M32-N32</f>
        <v>704824.51</v>
      </c>
    </row>
    <row r="33" spans="2:15" s="241" customFormat="1">
      <c r="B33" s="241" t="s">
        <v>237</v>
      </c>
      <c r="C33" s="275">
        <v>41700</v>
      </c>
      <c r="D33" s="275">
        <v>29345.94</v>
      </c>
      <c r="E33" s="254">
        <f>+C33-D33</f>
        <v>12354.060000000001</v>
      </c>
      <c r="F33" s="252"/>
      <c r="G33" s="252"/>
      <c r="H33" s="252"/>
      <c r="I33" s="252"/>
      <c r="J33" s="252"/>
      <c r="K33" s="253"/>
      <c r="L33" s="241" t="s">
        <v>237</v>
      </c>
      <c r="M33" s="276">
        <f t="shared" si="2"/>
        <v>41700</v>
      </c>
      <c r="N33" s="276">
        <f t="shared" si="2"/>
        <v>29345.94</v>
      </c>
      <c r="O33" s="277">
        <f>+M33-N33</f>
        <v>12354.060000000001</v>
      </c>
    </row>
    <row r="34" spans="2:15" s="241" customFormat="1" ht="13.5" thickBot="1">
      <c r="B34" s="241" t="s">
        <v>238</v>
      </c>
      <c r="C34" s="286">
        <v>1808262.86</v>
      </c>
      <c r="D34" s="286">
        <v>1119447.53</v>
      </c>
      <c r="E34" s="257">
        <f>+C34-D34</f>
        <v>688815.33000000007</v>
      </c>
      <c r="F34" s="252"/>
      <c r="G34" s="252"/>
      <c r="H34" s="252"/>
      <c r="I34" s="252"/>
      <c r="J34" s="252"/>
      <c r="K34" s="253"/>
      <c r="L34" s="241" t="s">
        <v>238</v>
      </c>
      <c r="M34" s="263">
        <f t="shared" si="2"/>
        <v>1808262.86</v>
      </c>
      <c r="N34" s="263">
        <f t="shared" si="2"/>
        <v>1119447.53</v>
      </c>
      <c r="O34" s="257">
        <f>+M34-N34</f>
        <v>688815.33000000007</v>
      </c>
    </row>
    <row r="35" spans="2:15">
      <c r="B35" s="264" t="s">
        <v>182</v>
      </c>
      <c r="C35" s="287">
        <f>SUM(C20:C34)</f>
        <v>22326343.709999997</v>
      </c>
      <c r="D35" s="260">
        <f>SUM(D20:D34)</f>
        <v>8949278.8699999992</v>
      </c>
      <c r="E35" s="260">
        <f>SUM(E20:E34)</f>
        <v>13377064.84</v>
      </c>
      <c r="F35" s="252"/>
      <c r="G35" s="252"/>
      <c r="H35" s="252"/>
      <c r="I35" s="252"/>
      <c r="J35" s="252"/>
      <c r="K35" s="253"/>
      <c r="L35" s="264" t="s">
        <v>182</v>
      </c>
      <c r="M35" s="287">
        <f>SUM(M20:M34)</f>
        <v>21728727.87122545</v>
      </c>
      <c r="N35" s="260">
        <f>SUM(N20:N34)</f>
        <v>8872993.4901413973</v>
      </c>
      <c r="O35" s="260">
        <f>SUM(O20:O34)</f>
        <v>12855734.381084053</v>
      </c>
    </row>
    <row r="36" spans="2:15" s="241" customFormat="1">
      <c r="B36" s="245"/>
      <c r="C36" s="288"/>
      <c r="D36" s="261"/>
      <c r="E36" s="261"/>
      <c r="F36" s="252"/>
      <c r="G36" s="252"/>
      <c r="H36" s="252"/>
      <c r="I36" s="252"/>
      <c r="J36" s="252"/>
      <c r="K36" s="253"/>
      <c r="M36" s="262"/>
      <c r="N36" s="254"/>
      <c r="O36" s="254"/>
    </row>
    <row r="37" spans="2:15" s="238" customFormat="1">
      <c r="B37" s="289" t="s">
        <v>18</v>
      </c>
      <c r="C37" s="290"/>
      <c r="D37" s="268"/>
      <c r="E37" s="268"/>
      <c r="F37" s="252"/>
      <c r="G37" s="252"/>
      <c r="H37" s="252"/>
      <c r="I37" s="252"/>
      <c r="J37" s="252"/>
      <c r="K37" s="253"/>
      <c r="L37" s="289" t="s">
        <v>18</v>
      </c>
      <c r="M37" s="290"/>
      <c r="N37" s="268"/>
      <c r="O37" s="268"/>
    </row>
    <row r="38" spans="2:15" s="285" customFormat="1">
      <c r="B38" s="282" t="s">
        <v>180</v>
      </c>
      <c r="C38" s="291"/>
      <c r="D38" s="292"/>
      <c r="E38" s="292"/>
      <c r="F38" s="252"/>
      <c r="G38" s="252"/>
      <c r="H38" s="252"/>
      <c r="I38" s="252"/>
      <c r="J38" s="252"/>
      <c r="K38" s="253"/>
      <c r="L38" s="282" t="s">
        <v>180</v>
      </c>
      <c r="M38" s="291"/>
      <c r="N38" s="292"/>
      <c r="O38" s="292"/>
    </row>
    <row r="39" spans="2:15" s="274" customFormat="1">
      <c r="B39" s="272" t="s">
        <v>181</v>
      </c>
      <c r="C39" s="293"/>
      <c r="D39" s="273"/>
      <c r="E39" s="273"/>
      <c r="F39" s="252"/>
      <c r="G39" s="252"/>
      <c r="H39" s="252"/>
      <c r="I39" s="252"/>
      <c r="J39" s="252"/>
      <c r="K39" s="253"/>
      <c r="L39" s="272" t="s">
        <v>181</v>
      </c>
      <c r="M39" s="293"/>
      <c r="N39" s="273"/>
      <c r="O39" s="273"/>
    </row>
    <row r="40" spans="2:15" s="241" customFormat="1">
      <c r="B40" s="274" t="s">
        <v>239</v>
      </c>
      <c r="C40" s="275">
        <v>4735305.2699999996</v>
      </c>
      <c r="D40" s="275">
        <v>3062925.37</v>
      </c>
      <c r="E40" s="254">
        <f t="shared" ref="E40:E52" si="3">+C40-D40</f>
        <v>1672379.8999999994</v>
      </c>
      <c r="F40" s="252"/>
      <c r="G40" s="252"/>
      <c r="H40" s="252"/>
      <c r="I40" s="252"/>
      <c r="J40" s="252"/>
      <c r="K40" s="253"/>
      <c r="L40" s="241" t="s">
        <v>239</v>
      </c>
      <c r="M40" s="276">
        <f>C40*($K40+1)/($F40+1)</f>
        <v>4735305.2699999996</v>
      </c>
      <c r="N40" s="276">
        <f>D40*($K40+1)/($F40+1)</f>
        <v>3062925.37</v>
      </c>
      <c r="O40" s="254">
        <f>+M40-N40</f>
        <v>1672379.8999999994</v>
      </c>
    </row>
    <row r="41" spans="2:15" s="241" customFormat="1">
      <c r="B41" s="241" t="s">
        <v>240</v>
      </c>
      <c r="C41" s="275"/>
      <c r="D41" s="275"/>
      <c r="E41" s="254">
        <f t="shared" si="3"/>
        <v>0</v>
      </c>
      <c r="F41" s="252"/>
      <c r="G41" s="252"/>
      <c r="H41" s="252"/>
      <c r="I41" s="252"/>
      <c r="J41" s="252"/>
      <c r="K41" s="253"/>
      <c r="L41" s="241" t="s">
        <v>240</v>
      </c>
      <c r="M41" s="276">
        <f t="shared" ref="M41:M51" si="4">C41*($K41+1)/($F41+1)</f>
        <v>0</v>
      </c>
      <c r="N41" s="276">
        <f t="shared" ref="N41:N51" si="5">D41*($K41+1)/($F41+1)</f>
        <v>0</v>
      </c>
      <c r="O41" s="254">
        <f t="shared" ref="O41:O51" si="6">+M41-N41</f>
        <v>0</v>
      </c>
    </row>
    <row r="42" spans="2:15" s="241" customFormat="1">
      <c r="B42" s="241" t="s">
        <v>241</v>
      </c>
      <c r="C42" s="275">
        <v>1859809.35</v>
      </c>
      <c r="D42" s="275">
        <v>1220250.3799999999</v>
      </c>
      <c r="E42" s="254">
        <f t="shared" si="3"/>
        <v>639558.9700000002</v>
      </c>
      <c r="F42" s="252"/>
      <c r="G42" s="252"/>
      <c r="H42" s="252"/>
      <c r="I42" s="252"/>
      <c r="J42" s="252"/>
      <c r="K42" s="253"/>
      <c r="L42" s="241" t="s">
        <v>241</v>
      </c>
      <c r="M42" s="276">
        <f t="shared" si="4"/>
        <v>1859809.35</v>
      </c>
      <c r="N42" s="276">
        <f t="shared" si="5"/>
        <v>1220250.3799999999</v>
      </c>
      <c r="O42" s="254">
        <f t="shared" si="6"/>
        <v>639558.9700000002</v>
      </c>
    </row>
    <row r="43" spans="2:15" s="241" customFormat="1">
      <c r="B43" s="241" t="s">
        <v>242</v>
      </c>
      <c r="C43" s="275">
        <v>1346948.67</v>
      </c>
      <c r="D43" s="275">
        <v>877107.05</v>
      </c>
      <c r="E43" s="254">
        <f t="shared" si="3"/>
        <v>469841.61999999988</v>
      </c>
      <c r="F43" s="252"/>
      <c r="G43" s="252"/>
      <c r="H43" s="252"/>
      <c r="I43" s="252"/>
      <c r="J43" s="252"/>
      <c r="K43" s="253"/>
      <c r="L43" s="241" t="s">
        <v>242</v>
      </c>
      <c r="M43" s="276">
        <f t="shared" si="4"/>
        <v>1346948.67</v>
      </c>
      <c r="N43" s="276">
        <f t="shared" si="5"/>
        <v>877107.05</v>
      </c>
      <c r="O43" s="254">
        <f t="shared" si="6"/>
        <v>469841.61999999988</v>
      </c>
    </row>
    <row r="44" spans="2:15" s="241" customFormat="1">
      <c r="B44" s="241" t="s">
        <v>243</v>
      </c>
      <c r="C44" s="275">
        <v>4086000.77</v>
      </c>
      <c r="D44" s="275">
        <v>2567772.0299999998</v>
      </c>
      <c r="E44" s="254">
        <f t="shared" si="3"/>
        <v>1518228.7400000002</v>
      </c>
      <c r="F44" s="252"/>
      <c r="G44" s="252"/>
      <c r="H44" s="252"/>
      <c r="I44" s="252"/>
      <c r="J44" s="252"/>
      <c r="K44" s="253"/>
      <c r="L44" s="241" t="s">
        <v>243</v>
      </c>
      <c r="M44" s="276">
        <f t="shared" si="4"/>
        <v>4086000.77</v>
      </c>
      <c r="N44" s="276">
        <f t="shared" si="5"/>
        <v>2567772.0299999998</v>
      </c>
      <c r="O44" s="254">
        <f t="shared" si="6"/>
        <v>1518228.7400000002</v>
      </c>
    </row>
    <row r="45" spans="2:15" s="241" customFormat="1">
      <c r="B45" s="241" t="s">
        <v>244</v>
      </c>
      <c r="C45" s="275">
        <v>14582826.120000001</v>
      </c>
      <c r="D45" s="275">
        <v>9337587.7899999991</v>
      </c>
      <c r="E45" s="254">
        <f t="shared" si="3"/>
        <v>5245238.3300000019</v>
      </c>
      <c r="F45" s="252"/>
      <c r="G45" s="252"/>
      <c r="H45" s="252"/>
      <c r="I45" s="252"/>
      <c r="J45" s="252"/>
      <c r="K45" s="253"/>
      <c r="L45" s="241" t="s">
        <v>244</v>
      </c>
      <c r="M45" s="276">
        <f t="shared" si="4"/>
        <v>14582826.120000001</v>
      </c>
      <c r="N45" s="276">
        <f t="shared" si="5"/>
        <v>9337587.7899999991</v>
      </c>
      <c r="O45" s="254">
        <f t="shared" si="6"/>
        <v>5245238.3300000019</v>
      </c>
    </row>
    <row r="46" spans="2:15" s="241" customFormat="1">
      <c r="B46" s="241" t="s">
        <v>245</v>
      </c>
      <c r="C46" s="275">
        <v>20766725.890000001</v>
      </c>
      <c r="D46" s="275">
        <v>12862962.810000001</v>
      </c>
      <c r="E46" s="254">
        <f t="shared" si="3"/>
        <v>7903763.0800000001</v>
      </c>
      <c r="F46" s="252"/>
      <c r="G46" s="252"/>
      <c r="H46" s="252"/>
      <c r="I46" s="252"/>
      <c r="J46" s="252"/>
      <c r="K46" s="253"/>
      <c r="L46" s="241" t="s">
        <v>245</v>
      </c>
      <c r="M46" s="276">
        <f t="shared" si="4"/>
        <v>20766725.890000001</v>
      </c>
      <c r="N46" s="276">
        <f t="shared" si="5"/>
        <v>12862962.810000001</v>
      </c>
      <c r="O46" s="254">
        <f t="shared" si="6"/>
        <v>7903763.0800000001</v>
      </c>
    </row>
    <row r="47" spans="2:15" s="241" customFormat="1">
      <c r="B47" s="241" t="s">
        <v>246</v>
      </c>
      <c r="C47" s="275"/>
      <c r="D47" s="275"/>
      <c r="E47" s="254">
        <f t="shared" si="3"/>
        <v>0</v>
      </c>
      <c r="F47" s="252"/>
      <c r="G47" s="252"/>
      <c r="H47" s="252"/>
      <c r="I47" s="252"/>
      <c r="J47" s="252"/>
      <c r="K47" s="253"/>
      <c r="L47" s="241" t="s">
        <v>246</v>
      </c>
      <c r="M47" s="276">
        <f t="shared" si="4"/>
        <v>0</v>
      </c>
      <c r="N47" s="276">
        <f t="shared" si="5"/>
        <v>0</v>
      </c>
      <c r="O47" s="254">
        <f t="shared" si="6"/>
        <v>0</v>
      </c>
    </row>
    <row r="48" spans="2:15" s="241" customFormat="1" ht="13.5" thickBot="1">
      <c r="B48" s="241" t="s">
        <v>250</v>
      </c>
      <c r="C48" s="275">
        <v>4471200.75</v>
      </c>
      <c r="D48" s="275">
        <v>2408539.9700000002</v>
      </c>
      <c r="E48" s="254">
        <f>+C48-D48</f>
        <v>2062660.7799999998</v>
      </c>
      <c r="F48" s="252"/>
      <c r="G48" s="252"/>
      <c r="H48" s="252"/>
      <c r="I48" s="252"/>
      <c r="J48" s="252"/>
      <c r="K48" s="253"/>
      <c r="L48" s="241" t="s">
        <v>250</v>
      </c>
      <c r="M48" s="263">
        <f>C48*($K48+1)/($F48+1)</f>
        <v>4471200.75</v>
      </c>
      <c r="N48" s="263">
        <f>D48*($K48+1)/($F48+1)</f>
        <v>2408539.9700000002</v>
      </c>
      <c r="O48" s="257">
        <f>+M48-N48</f>
        <v>2062660.7799999998</v>
      </c>
    </row>
    <row r="49" spans="2:15" s="241" customFormat="1">
      <c r="B49" s="241" t="s">
        <v>247</v>
      </c>
      <c r="C49" s="275">
        <v>3892745.69</v>
      </c>
      <c r="D49" s="275">
        <v>2158970.04</v>
      </c>
      <c r="E49" s="254">
        <f t="shared" si="3"/>
        <v>1733775.65</v>
      </c>
      <c r="F49" s="252"/>
      <c r="G49" s="252"/>
      <c r="H49" s="252"/>
      <c r="I49" s="252"/>
      <c r="J49" s="252"/>
      <c r="K49" s="253"/>
      <c r="L49" s="241" t="s">
        <v>247</v>
      </c>
      <c r="M49" s="276">
        <f t="shared" si="4"/>
        <v>3892745.69</v>
      </c>
      <c r="N49" s="276">
        <f t="shared" si="5"/>
        <v>2158970.04</v>
      </c>
      <c r="O49" s="254">
        <f t="shared" si="6"/>
        <v>1733775.65</v>
      </c>
    </row>
    <row r="50" spans="2:15" s="241" customFormat="1">
      <c r="B50" s="241" t="s">
        <v>248</v>
      </c>
      <c r="C50" s="275">
        <v>1861669.6</v>
      </c>
      <c r="D50" s="275">
        <v>653519.76</v>
      </c>
      <c r="E50" s="254">
        <f t="shared" si="3"/>
        <v>1208149.8400000001</v>
      </c>
      <c r="F50" s="252"/>
      <c r="G50" s="252"/>
      <c r="H50" s="252"/>
      <c r="I50" s="252"/>
      <c r="J50" s="252"/>
      <c r="K50" s="253"/>
      <c r="L50" s="241" t="s">
        <v>248</v>
      </c>
      <c r="M50" s="276">
        <f t="shared" si="4"/>
        <v>1861669.6</v>
      </c>
      <c r="N50" s="276">
        <f t="shared" si="5"/>
        <v>653519.76</v>
      </c>
      <c r="O50" s="254">
        <f t="shared" si="6"/>
        <v>1208149.8400000001</v>
      </c>
    </row>
    <row r="51" spans="2:15" s="241" customFormat="1">
      <c r="B51" s="241" t="s">
        <v>245</v>
      </c>
      <c r="C51" s="275">
        <v>16718734.82</v>
      </c>
      <c r="D51" s="275">
        <v>140597.29999999999</v>
      </c>
      <c r="E51" s="254">
        <f t="shared" si="3"/>
        <v>16578137.52</v>
      </c>
      <c r="F51" s="252">
        <v>0.32400000000000001</v>
      </c>
      <c r="G51" s="252">
        <v>0</v>
      </c>
      <c r="H51" s="252">
        <f>0.08-H$5</f>
        <v>0.04</v>
      </c>
      <c r="I51" s="252">
        <v>0</v>
      </c>
      <c r="J51" s="252">
        <f>0.081-J$5</f>
        <v>5.1000000000000004E-2</v>
      </c>
      <c r="K51" s="253">
        <f>F51-SUM(G51:J51)</f>
        <v>0.23300000000000001</v>
      </c>
      <c r="L51" s="241" t="s">
        <v>245</v>
      </c>
      <c r="M51" s="276">
        <f t="shared" si="4"/>
        <v>15569637.48720544</v>
      </c>
      <c r="N51" s="276">
        <f t="shared" si="5"/>
        <v>130933.89040785497</v>
      </c>
      <c r="O51" s="254">
        <f t="shared" si="6"/>
        <v>15438703.596797585</v>
      </c>
    </row>
    <row r="52" spans="2:15" s="241" customFormat="1">
      <c r="B52" s="241" t="s">
        <v>249</v>
      </c>
      <c r="C52" s="275">
        <v>13104311.659999998</v>
      </c>
      <c r="D52" s="275">
        <v>106424.03</v>
      </c>
      <c r="E52" s="254">
        <f t="shared" si="3"/>
        <v>12997887.629999999</v>
      </c>
      <c r="F52" s="252">
        <v>0.32300000000000001</v>
      </c>
      <c r="G52" s="252">
        <v>0</v>
      </c>
      <c r="H52" s="252">
        <f>0.061-H$5</f>
        <v>2.0999999999999998E-2</v>
      </c>
      <c r="I52" s="252">
        <v>0</v>
      </c>
      <c r="J52" s="252">
        <f>0.084-J$5</f>
        <v>5.4000000000000006E-2</v>
      </c>
      <c r="K52" s="253">
        <f>F52-SUM(G52:J52)</f>
        <v>0.248</v>
      </c>
      <c r="L52" s="241" t="s">
        <v>249</v>
      </c>
      <c r="M52" s="276">
        <f>C52*($K52+1)/($F52+1)</f>
        <v>12361436.849342402</v>
      </c>
      <c r="N52" s="276">
        <f>D52*($K52+1)/($F52+1)</f>
        <v>100390.921723356</v>
      </c>
      <c r="O52" s="254">
        <f>+M52-N52</f>
        <v>12261045.927619046</v>
      </c>
    </row>
    <row r="53" spans="2:15" s="241" customFormat="1">
      <c r="M53" s="262"/>
      <c r="N53" s="262"/>
      <c r="O53" s="262"/>
    </row>
    <row r="54" spans="2:15" s="274" customFormat="1">
      <c r="B54" s="272" t="s">
        <v>172</v>
      </c>
      <c r="C54" s="293"/>
      <c r="D54" s="273"/>
      <c r="E54" s="273"/>
      <c r="F54" s="252"/>
      <c r="G54" s="252"/>
      <c r="H54" s="252"/>
      <c r="I54" s="252"/>
      <c r="J54" s="252"/>
      <c r="K54" s="253"/>
      <c r="L54" s="272" t="s">
        <v>172</v>
      </c>
      <c r="M54" s="293"/>
      <c r="N54" s="293"/>
      <c r="O54" s="293"/>
    </row>
    <row r="55" spans="2:15" s="241" customFormat="1">
      <c r="B55" s="274" t="s">
        <v>230</v>
      </c>
      <c r="C55" s="275">
        <v>960116.81</v>
      </c>
      <c r="D55" s="275">
        <v>10881.51</v>
      </c>
      <c r="E55" s="254">
        <f t="shared" ref="E55:E61" si="7">+C55-D55</f>
        <v>949235.3</v>
      </c>
      <c r="F55" s="294">
        <v>0.317</v>
      </c>
      <c r="G55" s="294">
        <v>0</v>
      </c>
      <c r="H55" s="294">
        <f>0.061-H$5</f>
        <v>2.0999999999999998E-2</v>
      </c>
      <c r="I55" s="294">
        <f>0.044-I$5</f>
        <v>3.9999999999999966E-3</v>
      </c>
      <c r="J55" s="294">
        <f>0.092-J$5</f>
        <v>6.2E-2</v>
      </c>
      <c r="K55" s="295">
        <f>F55-SUM(G55:J55)</f>
        <v>0.23</v>
      </c>
      <c r="L55" s="241" t="s">
        <v>230</v>
      </c>
      <c r="M55" s="276">
        <f t="shared" ref="M55:N61" si="8">C55*($K55+1)/($F55+1)</f>
        <v>896692.23712984065</v>
      </c>
      <c r="N55" s="276">
        <f t="shared" si="8"/>
        <v>10162.685876993166</v>
      </c>
      <c r="O55" s="254">
        <f t="shared" ref="O55:O61" si="9">+M55-N55</f>
        <v>886529.55125284754</v>
      </c>
    </row>
    <row r="56" spans="2:15" s="241" customFormat="1">
      <c r="B56" s="241" t="s">
        <v>231</v>
      </c>
      <c r="C56" s="275">
        <v>7658766.1899999995</v>
      </c>
      <c r="D56" s="275">
        <v>86074.05</v>
      </c>
      <c r="E56" s="254">
        <f t="shared" si="7"/>
        <v>7572692.1399999997</v>
      </c>
      <c r="F56" s="294">
        <v>0.317</v>
      </c>
      <c r="G56" s="294">
        <v>0</v>
      </c>
      <c r="H56" s="294">
        <f>0.061-H$5</f>
        <v>2.0999999999999998E-2</v>
      </c>
      <c r="I56" s="294">
        <f>0.044-I$5</f>
        <v>3.9999999999999966E-3</v>
      </c>
      <c r="J56" s="294">
        <f>0.092-J$5</f>
        <v>6.2E-2</v>
      </c>
      <c r="K56" s="295">
        <f>F56-SUM(G56:J56)</f>
        <v>0.23</v>
      </c>
      <c r="L56" s="241" t="s">
        <v>231</v>
      </c>
      <c r="M56" s="276">
        <f t="shared" si="8"/>
        <v>7152834.0271070618</v>
      </c>
      <c r="N56" s="276">
        <f t="shared" si="8"/>
        <v>80388.064920273348</v>
      </c>
      <c r="O56" s="254">
        <f t="shared" si="9"/>
        <v>7072445.9621867882</v>
      </c>
    </row>
    <row r="57" spans="2:15" s="241" customFormat="1">
      <c r="B57" s="241" t="s">
        <v>232</v>
      </c>
      <c r="C57" s="275">
        <v>3001970.27</v>
      </c>
      <c r="D57" s="275">
        <v>1845785.46</v>
      </c>
      <c r="E57" s="254">
        <f t="shared" si="7"/>
        <v>1156184.81</v>
      </c>
      <c r="F57" s="294"/>
      <c r="G57" s="294"/>
      <c r="H57" s="294"/>
      <c r="I57" s="294"/>
      <c r="J57" s="294"/>
      <c r="K57" s="295"/>
      <c r="L57" s="241" t="s">
        <v>232</v>
      </c>
      <c r="M57" s="276">
        <f t="shared" si="8"/>
        <v>3001970.27</v>
      </c>
      <c r="N57" s="276">
        <f t="shared" si="8"/>
        <v>1845785.46</v>
      </c>
      <c r="O57" s="254">
        <f t="shared" si="9"/>
        <v>1156184.81</v>
      </c>
    </row>
    <row r="58" spans="2:15" s="241" customFormat="1">
      <c r="B58" s="241" t="s">
        <v>233</v>
      </c>
      <c r="C58" s="275">
        <v>3807180.96</v>
      </c>
      <c r="D58" s="275">
        <v>2564054.9300000002</v>
      </c>
      <c r="E58" s="254">
        <f t="shared" si="7"/>
        <v>1243126.0299999998</v>
      </c>
      <c r="F58" s="252"/>
      <c r="G58" s="252"/>
      <c r="H58" s="252"/>
      <c r="I58" s="252"/>
      <c r="J58" s="252"/>
      <c r="K58" s="253"/>
      <c r="L58" s="241" t="s">
        <v>233</v>
      </c>
      <c r="M58" s="276">
        <f t="shared" si="8"/>
        <v>3807180.96</v>
      </c>
      <c r="N58" s="276">
        <f t="shared" si="8"/>
        <v>2564054.9300000002</v>
      </c>
      <c r="O58" s="254">
        <f t="shared" si="9"/>
        <v>1243126.0299999998</v>
      </c>
    </row>
    <row r="59" spans="2:15" s="241" customFormat="1">
      <c r="B59" s="241" t="s">
        <v>234</v>
      </c>
      <c r="C59" s="275">
        <v>1445818.81</v>
      </c>
      <c r="D59" s="275">
        <v>976119.86</v>
      </c>
      <c r="E59" s="254">
        <f t="shared" si="7"/>
        <v>469698.95000000007</v>
      </c>
      <c r="F59" s="252"/>
      <c r="G59" s="252"/>
      <c r="H59" s="252"/>
      <c r="I59" s="252"/>
      <c r="J59" s="252"/>
      <c r="K59" s="253"/>
      <c r="L59" s="241" t="s">
        <v>234</v>
      </c>
      <c r="M59" s="276">
        <f t="shared" si="8"/>
        <v>1445818.81</v>
      </c>
      <c r="N59" s="276">
        <f t="shared" si="8"/>
        <v>976119.86</v>
      </c>
      <c r="O59" s="254">
        <f t="shared" si="9"/>
        <v>469698.95000000007</v>
      </c>
    </row>
    <row r="60" spans="2:15" s="241" customFormat="1">
      <c r="B60" s="241" t="s">
        <v>184</v>
      </c>
      <c r="C60" s="275">
        <v>199901.93</v>
      </c>
      <c r="D60" s="275">
        <v>86599.63</v>
      </c>
      <c r="E60" s="254">
        <f t="shared" si="7"/>
        <v>113302.29999999999</v>
      </c>
      <c r="F60" s="252"/>
      <c r="G60" s="252"/>
      <c r="H60" s="252"/>
      <c r="I60" s="252"/>
      <c r="J60" s="252"/>
      <c r="K60" s="253"/>
      <c r="L60" s="241" t="s">
        <v>184</v>
      </c>
      <c r="M60" s="276">
        <f t="shared" si="8"/>
        <v>199901.93</v>
      </c>
      <c r="N60" s="276">
        <f t="shared" si="8"/>
        <v>86599.63</v>
      </c>
      <c r="O60" s="254">
        <f t="shared" si="9"/>
        <v>113302.29999999999</v>
      </c>
    </row>
    <row r="61" spans="2:15" s="241" customFormat="1" ht="13.5" thickBot="1">
      <c r="B61" s="241" t="s">
        <v>183</v>
      </c>
      <c r="C61" s="275">
        <v>2873067.62</v>
      </c>
      <c r="D61" s="275">
        <v>1468946.75</v>
      </c>
      <c r="E61" s="254">
        <f t="shared" si="7"/>
        <v>1404120.87</v>
      </c>
      <c r="F61" s="252"/>
      <c r="G61" s="252"/>
      <c r="H61" s="252"/>
      <c r="I61" s="252"/>
      <c r="J61" s="252"/>
      <c r="K61" s="253"/>
      <c r="L61" s="241" t="s">
        <v>183</v>
      </c>
      <c r="M61" s="263">
        <f t="shared" si="8"/>
        <v>2873067.62</v>
      </c>
      <c r="N61" s="263">
        <f t="shared" si="8"/>
        <v>1468946.75</v>
      </c>
      <c r="O61" s="257">
        <f t="shared" si="9"/>
        <v>1404120.87</v>
      </c>
    </row>
    <row r="62" spans="2:15" s="285" customFormat="1">
      <c r="B62" s="282" t="s">
        <v>171</v>
      </c>
      <c r="C62" s="291"/>
      <c r="D62" s="292"/>
      <c r="E62" s="292"/>
      <c r="F62" s="252"/>
      <c r="G62" s="252"/>
      <c r="H62" s="252"/>
      <c r="I62" s="252"/>
      <c r="J62" s="252"/>
      <c r="K62" s="253"/>
      <c r="L62" s="282" t="s">
        <v>171</v>
      </c>
      <c r="M62" s="291"/>
      <c r="N62" s="292"/>
      <c r="O62" s="292"/>
    </row>
    <row r="63" spans="2:15" s="274" customFormat="1">
      <c r="B63" s="272" t="s">
        <v>181</v>
      </c>
      <c r="C63" s="293"/>
      <c r="D63" s="273"/>
      <c r="E63" s="273"/>
      <c r="F63" s="252"/>
      <c r="G63" s="252"/>
      <c r="H63" s="252"/>
      <c r="I63" s="252"/>
      <c r="J63" s="252"/>
      <c r="K63" s="253"/>
      <c r="L63" s="272" t="s">
        <v>181</v>
      </c>
      <c r="M63" s="293"/>
      <c r="N63" s="273"/>
      <c r="O63" s="273"/>
    </row>
    <row r="64" spans="2:15" s="241" customFormat="1">
      <c r="B64" s="274" t="s">
        <v>185</v>
      </c>
      <c r="C64" s="275">
        <v>19457521.009999998</v>
      </c>
      <c r="D64" s="275">
        <v>9687857.2899999991</v>
      </c>
      <c r="E64" s="254">
        <f t="shared" ref="E64:E71" si="10">+C64-D64</f>
        <v>9769663.7199999988</v>
      </c>
      <c r="F64" s="252"/>
      <c r="G64" s="252"/>
      <c r="H64" s="252"/>
      <c r="I64" s="252"/>
      <c r="J64" s="252"/>
      <c r="K64" s="253"/>
      <c r="L64" s="241" t="s">
        <v>185</v>
      </c>
      <c r="M64" s="276">
        <f t="shared" ref="M64:N71" si="11">C64*($K64+1)/($F64+1)</f>
        <v>19457521.009999998</v>
      </c>
      <c r="N64" s="276">
        <f t="shared" si="11"/>
        <v>9687857.2899999991</v>
      </c>
      <c r="O64" s="254">
        <f t="shared" ref="O64:O71" si="12">+M64-N64</f>
        <v>9769663.7199999988</v>
      </c>
    </row>
    <row r="65" spans="2:15" s="241" customFormat="1">
      <c r="B65" s="241" t="s">
        <v>173</v>
      </c>
      <c r="C65" s="275">
        <v>10280508.420000002</v>
      </c>
      <c r="D65" s="275">
        <v>1268393.29</v>
      </c>
      <c r="E65" s="254">
        <f t="shared" si="10"/>
        <v>9012115.1300000027</v>
      </c>
      <c r="F65" s="252">
        <v>0.27300000000000002</v>
      </c>
      <c r="G65" s="252">
        <v>0</v>
      </c>
      <c r="H65" s="252">
        <f>0.074-H$5</f>
        <v>3.3999999999999996E-2</v>
      </c>
      <c r="I65" s="252">
        <f>0.131-I$5</f>
        <v>9.0999999999999998E-2</v>
      </c>
      <c r="J65" s="252">
        <f>0.037-J$5</f>
        <v>6.9999999999999993E-3</v>
      </c>
      <c r="K65" s="253">
        <f>F65-SUM(G65:J65)</f>
        <v>0.14100000000000001</v>
      </c>
      <c r="L65" s="241" t="s">
        <v>173</v>
      </c>
      <c r="M65" s="276">
        <f t="shared" si="11"/>
        <v>9214501.2625451684</v>
      </c>
      <c r="N65" s="276">
        <f t="shared" si="11"/>
        <v>1136870.9692772976</v>
      </c>
      <c r="O65" s="254">
        <f t="shared" si="12"/>
        <v>8077630.2932678703</v>
      </c>
    </row>
    <row r="66" spans="2:15" s="241" customFormat="1">
      <c r="B66" s="241" t="s">
        <v>187</v>
      </c>
      <c r="C66" s="275">
        <v>7565008.1999999993</v>
      </c>
      <c r="D66" s="275">
        <v>3022280.06</v>
      </c>
      <c r="E66" s="254">
        <f t="shared" si="10"/>
        <v>4542728.1399999987</v>
      </c>
      <c r="F66" s="252"/>
      <c r="G66" s="252"/>
      <c r="H66" s="252"/>
      <c r="I66" s="252"/>
      <c r="J66" s="252"/>
      <c r="K66" s="253"/>
      <c r="L66" s="241" t="s">
        <v>187</v>
      </c>
      <c r="M66" s="276">
        <f t="shared" si="11"/>
        <v>7565008.1999999993</v>
      </c>
      <c r="N66" s="276">
        <f t="shared" si="11"/>
        <v>3022280.06</v>
      </c>
      <c r="O66" s="254">
        <f t="shared" si="12"/>
        <v>4542728.1399999987</v>
      </c>
    </row>
    <row r="67" spans="2:15" s="241" customFormat="1">
      <c r="B67" s="241" t="s">
        <v>179</v>
      </c>
      <c r="C67" s="275">
        <v>16803207.245676398</v>
      </c>
      <c r="D67" s="275">
        <v>3378655.38</v>
      </c>
      <c r="E67" s="254">
        <f t="shared" si="10"/>
        <v>13424551.865676399</v>
      </c>
      <c r="F67" s="252">
        <v>0.223</v>
      </c>
      <c r="G67" s="252">
        <v>0</v>
      </c>
      <c r="H67" s="252">
        <v>0</v>
      </c>
      <c r="I67" s="252">
        <v>0</v>
      </c>
      <c r="J67" s="252">
        <f>0.094-J5</f>
        <v>6.4000000000000001E-2</v>
      </c>
      <c r="K67" s="253">
        <f>F67-SUM(G67:J67)</f>
        <v>0.159</v>
      </c>
      <c r="L67" s="241" t="s">
        <v>179</v>
      </c>
      <c r="M67" s="276">
        <f t="shared" si="11"/>
        <v>15923889.77738262</v>
      </c>
      <c r="N67" s="276">
        <f t="shared" si="11"/>
        <v>3201849.2113000816</v>
      </c>
      <c r="O67" s="254">
        <f t="shared" si="12"/>
        <v>12722040.566082537</v>
      </c>
    </row>
    <row r="68" spans="2:15" s="241" customFormat="1">
      <c r="B68" s="241" t="s">
        <v>189</v>
      </c>
      <c r="C68" s="275">
        <v>11696171.288480489</v>
      </c>
      <c r="D68" s="275">
        <v>369026.26</v>
      </c>
      <c r="E68" s="254">
        <f t="shared" si="10"/>
        <v>11327145.028480489</v>
      </c>
      <c r="F68" s="252">
        <v>0.19700000000000001</v>
      </c>
      <c r="G68" s="252">
        <v>0</v>
      </c>
      <c r="H68" s="252">
        <v>0</v>
      </c>
      <c r="I68" s="252">
        <v>0</v>
      </c>
      <c r="J68" s="252">
        <f>0.059-J5</f>
        <v>2.8999999999999998E-2</v>
      </c>
      <c r="K68" s="253">
        <f>F68-SUM(G68:J68)</f>
        <v>0.16800000000000001</v>
      </c>
      <c r="L68" s="241" t="s">
        <v>189</v>
      </c>
      <c r="M68" s="276">
        <f t="shared" si="11"/>
        <v>11412805.400956733</v>
      </c>
      <c r="N68" s="276">
        <f t="shared" si="11"/>
        <v>360085.77416875516</v>
      </c>
      <c r="O68" s="254">
        <f t="shared" si="12"/>
        <v>11052719.626787977</v>
      </c>
    </row>
    <row r="69" spans="2:15" s="241" customFormat="1">
      <c r="B69" s="241" t="s">
        <v>177</v>
      </c>
      <c r="C69" s="275">
        <v>13491725.940000001</v>
      </c>
      <c r="D69" s="275">
        <v>6874794.3499999996</v>
      </c>
      <c r="E69" s="254">
        <f t="shared" si="10"/>
        <v>6616931.5900000017</v>
      </c>
      <c r="F69" s="252"/>
      <c r="G69" s="252"/>
      <c r="H69" s="252"/>
      <c r="I69" s="252"/>
      <c r="J69" s="252"/>
      <c r="K69" s="253"/>
      <c r="L69" s="241" t="s">
        <v>177</v>
      </c>
      <c r="M69" s="276">
        <f t="shared" si="11"/>
        <v>13491725.940000001</v>
      </c>
      <c r="N69" s="276">
        <f t="shared" si="11"/>
        <v>6874794.3499999996</v>
      </c>
      <c r="O69" s="254">
        <f t="shared" si="12"/>
        <v>6616931.5900000017</v>
      </c>
    </row>
    <row r="70" spans="2:15" s="241" customFormat="1">
      <c r="B70" s="241" t="s">
        <v>188</v>
      </c>
      <c r="C70" s="275">
        <v>4838660.265843112</v>
      </c>
      <c r="D70" s="275">
        <v>184104.57</v>
      </c>
      <c r="E70" s="254">
        <f t="shared" si="10"/>
        <v>4654555.6958431117</v>
      </c>
      <c r="F70" s="252">
        <v>0.41399999999999998</v>
      </c>
      <c r="G70" s="252">
        <v>0</v>
      </c>
      <c r="H70" s="252">
        <f>0.125-H5</f>
        <v>8.4999999999999992E-2</v>
      </c>
      <c r="I70" s="252">
        <f>0.054-I5</f>
        <v>1.3999999999999999E-2</v>
      </c>
      <c r="J70" s="252">
        <f>0.115-J5</f>
        <v>8.5000000000000006E-2</v>
      </c>
      <c r="K70" s="253">
        <f>F70-SUM(G70:J70)</f>
        <v>0.22999999999999998</v>
      </c>
      <c r="L70" s="241" t="s">
        <v>188</v>
      </c>
      <c r="M70" s="276">
        <f t="shared" si="11"/>
        <v>4209018.4773599915</v>
      </c>
      <c r="N70" s="276">
        <f t="shared" si="11"/>
        <v>160147.53967468179</v>
      </c>
      <c r="O70" s="254">
        <f t="shared" si="12"/>
        <v>4048870.9376853099</v>
      </c>
    </row>
    <row r="71" spans="2:15" s="241" customFormat="1" ht="13.5" thickBot="1">
      <c r="B71" s="241" t="s">
        <v>186</v>
      </c>
      <c r="C71" s="275">
        <v>3375252.06</v>
      </c>
      <c r="D71" s="275">
        <v>1710446.25</v>
      </c>
      <c r="E71" s="254">
        <f t="shared" si="10"/>
        <v>1664805.81</v>
      </c>
      <c r="F71" s="252"/>
      <c r="G71" s="252"/>
      <c r="H71" s="252"/>
      <c r="I71" s="252"/>
      <c r="J71" s="252"/>
      <c r="K71" s="253"/>
      <c r="L71" s="241" t="s">
        <v>186</v>
      </c>
      <c r="M71" s="263">
        <f t="shared" si="11"/>
        <v>3375252.06</v>
      </c>
      <c r="N71" s="263">
        <f t="shared" si="11"/>
        <v>1710446.25</v>
      </c>
      <c r="O71" s="257">
        <f t="shared" si="12"/>
        <v>1664805.81</v>
      </c>
    </row>
    <row r="72" spans="2:15" s="274" customFormat="1">
      <c r="B72" s="272" t="s">
        <v>190</v>
      </c>
      <c r="C72" s="293"/>
      <c r="D72" s="273"/>
      <c r="E72" s="273"/>
      <c r="F72" s="252"/>
      <c r="G72" s="252"/>
      <c r="H72" s="252"/>
      <c r="I72" s="252"/>
      <c r="J72" s="252"/>
      <c r="K72" s="253"/>
      <c r="L72" s="272" t="s">
        <v>190</v>
      </c>
      <c r="M72" s="293"/>
      <c r="N72" s="273"/>
      <c r="O72" s="273"/>
    </row>
    <row r="73" spans="2:15" s="241" customFormat="1">
      <c r="B73" s="274" t="s">
        <v>185</v>
      </c>
      <c r="C73" s="275">
        <v>35749.1</v>
      </c>
      <c r="D73" s="275">
        <v>521.63</v>
      </c>
      <c r="E73" s="254">
        <f>+C73-D73</f>
        <v>35227.47</v>
      </c>
      <c r="F73" s="252"/>
      <c r="G73" s="252"/>
      <c r="H73" s="252"/>
      <c r="I73" s="252"/>
      <c r="J73" s="252"/>
      <c r="K73" s="253"/>
      <c r="L73" s="241" t="s">
        <v>185</v>
      </c>
      <c r="M73" s="276">
        <f t="shared" ref="M73:N75" si="13">C73*($K73+1)/($F73+1)</f>
        <v>35749.1</v>
      </c>
      <c r="N73" s="276">
        <f t="shared" si="13"/>
        <v>521.63</v>
      </c>
      <c r="O73" s="254">
        <f t="shared" ref="O73:O78" si="14">+M73-N73</f>
        <v>35227.47</v>
      </c>
    </row>
    <row r="74" spans="2:15" s="241" customFormat="1">
      <c r="B74" s="241" t="s">
        <v>192</v>
      </c>
      <c r="C74" s="275">
        <v>5600888.9500000011</v>
      </c>
      <c r="D74" s="275">
        <v>2090658.33</v>
      </c>
      <c r="E74" s="254">
        <f>+C74-D74</f>
        <v>3510230.620000001</v>
      </c>
      <c r="F74" s="252"/>
      <c r="G74" s="252"/>
      <c r="H74" s="252"/>
      <c r="I74" s="252"/>
      <c r="J74" s="252"/>
      <c r="K74" s="253"/>
      <c r="L74" s="241" t="s">
        <v>192</v>
      </c>
      <c r="M74" s="276">
        <f t="shared" si="13"/>
        <v>5600888.9500000011</v>
      </c>
      <c r="N74" s="276">
        <f t="shared" si="13"/>
        <v>2090658.33</v>
      </c>
      <c r="O74" s="254">
        <f t="shared" si="14"/>
        <v>3510230.620000001</v>
      </c>
    </row>
    <row r="75" spans="2:15" s="241" customFormat="1">
      <c r="B75" s="241" t="s">
        <v>223</v>
      </c>
      <c r="C75" s="275">
        <f>3498625.03+4420.5</f>
        <v>3503045.53</v>
      </c>
      <c r="D75" s="275">
        <f>43066.87+184.12</f>
        <v>43250.990000000005</v>
      </c>
      <c r="E75" s="254">
        <f>+C75-D75</f>
        <v>3459794.5399999996</v>
      </c>
      <c r="F75" s="252">
        <v>0.13</v>
      </c>
      <c r="G75" s="252">
        <f>0.046-G5</f>
        <v>1.6E-2</v>
      </c>
      <c r="H75" s="252">
        <v>0</v>
      </c>
      <c r="I75" s="252">
        <v>0</v>
      </c>
      <c r="J75" s="252">
        <v>0</v>
      </c>
      <c r="K75" s="253">
        <f>F75-SUM(G75:J75)</f>
        <v>0.114</v>
      </c>
      <c r="L75" s="241" t="s">
        <v>223</v>
      </c>
      <c r="M75" s="276">
        <f t="shared" si="13"/>
        <v>3453444.8853274342</v>
      </c>
      <c r="N75" s="276">
        <f t="shared" si="13"/>
        <v>42638.58660176993</v>
      </c>
      <c r="O75" s="254">
        <f t="shared" si="14"/>
        <v>3410806.2987256641</v>
      </c>
    </row>
    <row r="76" spans="2:15" s="241" customFormat="1">
      <c r="B76" s="241" t="s">
        <v>177</v>
      </c>
      <c r="C76" s="275"/>
      <c r="D76" s="275"/>
      <c r="E76" s="254">
        <f>+C76-D76</f>
        <v>0</v>
      </c>
      <c r="F76" s="252"/>
      <c r="G76" s="252"/>
      <c r="H76" s="252"/>
      <c r="I76" s="252"/>
      <c r="J76" s="252"/>
      <c r="K76" s="253"/>
      <c r="L76" s="241" t="s">
        <v>177</v>
      </c>
      <c r="M76" s="276">
        <f t="shared" ref="M76:N78" si="15">C76*($K76+1)/($F76+1)</f>
        <v>0</v>
      </c>
      <c r="N76" s="276">
        <f t="shared" si="15"/>
        <v>0</v>
      </c>
      <c r="O76" s="254">
        <f t="shared" si="14"/>
        <v>0</v>
      </c>
    </row>
    <row r="77" spans="2:15" s="241" customFormat="1">
      <c r="B77" s="241" t="s">
        <v>191</v>
      </c>
      <c r="C77" s="275">
        <v>3224344.21</v>
      </c>
      <c r="D77" s="275">
        <v>1633121.5</v>
      </c>
      <c r="E77" s="254">
        <f>+C77-D77</f>
        <v>1591222.71</v>
      </c>
      <c r="F77" s="252"/>
      <c r="G77" s="252"/>
      <c r="H77" s="252"/>
      <c r="I77" s="252"/>
      <c r="J77" s="252"/>
      <c r="K77" s="253"/>
      <c r="L77" s="241" t="s">
        <v>191</v>
      </c>
      <c r="M77" s="276">
        <f t="shared" si="15"/>
        <v>3224344.21</v>
      </c>
      <c r="N77" s="276">
        <f t="shared" si="15"/>
        <v>1633121.5</v>
      </c>
      <c r="O77" s="254">
        <f t="shared" si="14"/>
        <v>1591222.71</v>
      </c>
    </row>
    <row r="78" spans="2:15" s="285" customFormat="1" ht="13.5" thickBot="1">
      <c r="B78" s="282" t="s">
        <v>259</v>
      </c>
      <c r="C78" s="286">
        <v>3738157</v>
      </c>
      <c r="D78" s="286">
        <v>1220877</v>
      </c>
      <c r="E78" s="257">
        <f>C78-D78</f>
        <v>2517280</v>
      </c>
      <c r="F78" s="252"/>
      <c r="G78" s="252"/>
      <c r="H78" s="252"/>
      <c r="I78" s="252"/>
      <c r="J78" s="252"/>
      <c r="K78" s="253"/>
      <c r="L78" s="282" t="s">
        <v>259</v>
      </c>
      <c r="M78" s="296">
        <f t="shared" si="15"/>
        <v>3738157</v>
      </c>
      <c r="N78" s="296">
        <f t="shared" si="15"/>
        <v>1220877</v>
      </c>
      <c r="O78" s="297">
        <f t="shared" si="14"/>
        <v>2517280</v>
      </c>
    </row>
    <row r="79" spans="2:15">
      <c r="B79" s="264" t="s">
        <v>193</v>
      </c>
      <c r="C79" s="287">
        <f>SUM(C40:C78)</f>
        <v>210983340.40000001</v>
      </c>
      <c r="D79" s="287">
        <f>SUM(D40:D78)</f>
        <v>73919105.619999975</v>
      </c>
      <c r="E79" s="287">
        <f>SUM(E40:E78)</f>
        <v>137064234.78000003</v>
      </c>
      <c r="F79" s="252"/>
      <c r="G79" s="252"/>
      <c r="H79" s="252"/>
      <c r="I79" s="252"/>
      <c r="J79" s="252"/>
      <c r="K79" s="253"/>
      <c r="L79" s="264" t="s">
        <v>193</v>
      </c>
      <c r="M79" s="287">
        <f>SUM(M40:M78)</f>
        <v>205614078.57435665</v>
      </c>
      <c r="N79" s="287">
        <f>SUM(N40:N78)</f>
        <v>73555165.883951053</v>
      </c>
      <c r="O79" s="287">
        <f>SUM(O40:O78)</f>
        <v>132058912.69040564</v>
      </c>
    </row>
    <row r="80" spans="2:15" s="241" customFormat="1">
      <c r="B80" s="245"/>
      <c r="C80" s="298"/>
      <c r="D80" s="261"/>
      <c r="E80" s="261"/>
      <c r="F80" s="252"/>
      <c r="G80" s="252"/>
      <c r="H80" s="252"/>
      <c r="I80" s="252"/>
      <c r="J80" s="252"/>
      <c r="K80" s="253"/>
      <c r="M80" s="276"/>
      <c r="N80" s="254"/>
      <c r="O80" s="254"/>
    </row>
    <row r="81" spans="2:15" s="274" customFormat="1">
      <c r="B81" s="299" t="s">
        <v>194</v>
      </c>
      <c r="C81" s="280"/>
      <c r="D81" s="300"/>
      <c r="E81" s="281"/>
      <c r="F81" s="252"/>
      <c r="G81" s="252"/>
      <c r="H81" s="252"/>
      <c r="I81" s="252"/>
      <c r="J81" s="252"/>
      <c r="K81" s="253"/>
      <c r="L81" s="299" t="s">
        <v>194</v>
      </c>
      <c r="M81" s="280"/>
      <c r="N81" s="300"/>
      <c r="O81" s="281"/>
    </row>
    <row r="82" spans="2:15" s="241" customFormat="1">
      <c r="B82" s="301" t="s">
        <v>251</v>
      </c>
      <c r="C82" s="275">
        <v>760391.54</v>
      </c>
      <c r="D82" s="275">
        <v>226970.26</v>
      </c>
      <c r="E82" s="254">
        <f t="shared" ref="E82:E89" si="16">C82-D82</f>
        <v>533421.28</v>
      </c>
      <c r="F82" s="252"/>
      <c r="G82" s="252"/>
      <c r="H82" s="252"/>
      <c r="I82" s="252"/>
      <c r="J82" s="252"/>
      <c r="K82" s="253"/>
      <c r="L82" s="302" t="s">
        <v>251</v>
      </c>
      <c r="M82" s="276">
        <f t="shared" ref="M82:M89" si="17">C82*($K82+1)/($F82+1)</f>
        <v>760391.54</v>
      </c>
      <c r="N82" s="276">
        <f t="shared" ref="N82:N89" si="18">D82*($K82+1)/($F82+1)</f>
        <v>226970.26</v>
      </c>
      <c r="O82" s="254">
        <f t="shared" ref="O82:O89" si="19">+M82-N82</f>
        <v>533421.28</v>
      </c>
    </row>
    <row r="83" spans="2:15" s="241" customFormat="1">
      <c r="B83" s="302" t="s">
        <v>90</v>
      </c>
      <c r="C83" s="275">
        <v>1480224.41</v>
      </c>
      <c r="D83" s="275">
        <v>995290.18</v>
      </c>
      <c r="E83" s="254">
        <f t="shared" si="16"/>
        <v>484934.22999999986</v>
      </c>
      <c r="F83" s="252"/>
      <c r="G83" s="252"/>
      <c r="H83" s="252"/>
      <c r="I83" s="252"/>
      <c r="J83" s="252"/>
      <c r="K83" s="253"/>
      <c r="L83" s="302" t="s">
        <v>90</v>
      </c>
      <c r="M83" s="276">
        <f t="shared" si="17"/>
        <v>1480224.41</v>
      </c>
      <c r="N83" s="276">
        <f t="shared" si="18"/>
        <v>995290.18</v>
      </c>
      <c r="O83" s="254">
        <f t="shared" si="19"/>
        <v>484934.22999999986</v>
      </c>
    </row>
    <row r="84" spans="2:15" s="241" customFormat="1">
      <c r="B84" s="302" t="s">
        <v>252</v>
      </c>
      <c r="C84" s="275">
        <v>15321.47</v>
      </c>
      <c r="D84" s="275">
        <v>8077.29</v>
      </c>
      <c r="E84" s="254">
        <f t="shared" si="16"/>
        <v>7244.1799999999994</v>
      </c>
      <c r="F84" s="252"/>
      <c r="G84" s="252"/>
      <c r="H84" s="252"/>
      <c r="I84" s="252"/>
      <c r="J84" s="252"/>
      <c r="K84" s="253"/>
      <c r="L84" s="302" t="s">
        <v>252</v>
      </c>
      <c r="M84" s="276">
        <f t="shared" si="17"/>
        <v>15321.47</v>
      </c>
      <c r="N84" s="276">
        <f t="shared" si="18"/>
        <v>8077.29</v>
      </c>
      <c r="O84" s="254">
        <f t="shared" si="19"/>
        <v>7244.1799999999994</v>
      </c>
    </row>
    <row r="85" spans="2:15" s="241" customFormat="1">
      <c r="B85" s="302" t="s">
        <v>253</v>
      </c>
      <c r="C85" s="275">
        <v>7804.77</v>
      </c>
      <c r="D85" s="275">
        <v>7632.85</v>
      </c>
      <c r="E85" s="254">
        <f t="shared" si="16"/>
        <v>171.92000000000007</v>
      </c>
      <c r="F85" s="252"/>
      <c r="G85" s="252"/>
      <c r="H85" s="252"/>
      <c r="I85" s="252"/>
      <c r="J85" s="252"/>
      <c r="K85" s="253"/>
      <c r="L85" s="302" t="s">
        <v>253</v>
      </c>
      <c r="M85" s="276">
        <f t="shared" si="17"/>
        <v>7804.77</v>
      </c>
      <c r="N85" s="276">
        <f t="shared" si="18"/>
        <v>7632.85</v>
      </c>
      <c r="O85" s="254">
        <f t="shared" si="19"/>
        <v>171.92000000000007</v>
      </c>
    </row>
    <row r="86" spans="2:15" s="241" customFormat="1">
      <c r="B86" s="302" t="s">
        <v>254</v>
      </c>
      <c r="C86" s="275">
        <v>570708.72</v>
      </c>
      <c r="D86" s="275">
        <v>396544.11</v>
      </c>
      <c r="E86" s="254">
        <f t="shared" si="16"/>
        <v>174164.61</v>
      </c>
      <c r="F86" s="252"/>
      <c r="G86" s="252"/>
      <c r="H86" s="252"/>
      <c r="I86" s="252"/>
      <c r="J86" s="252"/>
      <c r="K86" s="253"/>
      <c r="L86" s="302" t="s">
        <v>254</v>
      </c>
      <c r="M86" s="276">
        <f t="shared" si="17"/>
        <v>570708.72</v>
      </c>
      <c r="N86" s="276">
        <f t="shared" si="18"/>
        <v>396544.11</v>
      </c>
      <c r="O86" s="254">
        <f t="shared" si="19"/>
        <v>174164.61</v>
      </c>
    </row>
    <row r="87" spans="2:15" s="241" customFormat="1">
      <c r="B87" s="302" t="s">
        <v>255</v>
      </c>
      <c r="C87" s="275">
        <v>199244.79</v>
      </c>
      <c r="D87" s="275">
        <v>145155.41</v>
      </c>
      <c r="E87" s="254">
        <f t="shared" si="16"/>
        <v>54089.380000000005</v>
      </c>
      <c r="F87" s="252"/>
      <c r="G87" s="252"/>
      <c r="H87" s="252"/>
      <c r="I87" s="252"/>
      <c r="J87" s="252"/>
      <c r="K87" s="253"/>
      <c r="L87" s="302" t="s">
        <v>255</v>
      </c>
      <c r="M87" s="276">
        <f t="shared" si="17"/>
        <v>199244.79</v>
      </c>
      <c r="N87" s="276">
        <f t="shared" si="18"/>
        <v>145155.41</v>
      </c>
      <c r="O87" s="254">
        <f t="shared" si="19"/>
        <v>54089.380000000005</v>
      </c>
    </row>
    <row r="88" spans="2:15" s="241" customFormat="1">
      <c r="B88" s="302" t="s">
        <v>256</v>
      </c>
      <c r="C88" s="275">
        <v>251537.72</v>
      </c>
      <c r="D88" s="275">
        <v>46698.23</v>
      </c>
      <c r="E88" s="254">
        <f t="shared" si="16"/>
        <v>204839.49</v>
      </c>
      <c r="F88" s="252"/>
      <c r="G88" s="252"/>
      <c r="H88" s="252"/>
      <c r="I88" s="252"/>
      <c r="J88" s="252"/>
      <c r="K88" s="253"/>
      <c r="L88" s="302" t="s">
        <v>256</v>
      </c>
      <c r="M88" s="276">
        <f t="shared" si="17"/>
        <v>251537.72</v>
      </c>
      <c r="N88" s="276">
        <f t="shared" si="18"/>
        <v>46698.23</v>
      </c>
      <c r="O88" s="254">
        <f t="shared" si="19"/>
        <v>204839.49</v>
      </c>
    </row>
    <row r="89" spans="2:15" s="241" customFormat="1" ht="13.5" thickBot="1">
      <c r="B89" s="302" t="s">
        <v>257</v>
      </c>
      <c r="C89" s="286">
        <v>3767.4</v>
      </c>
      <c r="D89" s="286">
        <v>1678.3</v>
      </c>
      <c r="E89" s="257">
        <f t="shared" si="16"/>
        <v>2089.1000000000004</v>
      </c>
      <c r="F89" s="252"/>
      <c r="G89" s="252"/>
      <c r="H89" s="252"/>
      <c r="I89" s="252"/>
      <c r="J89" s="252"/>
      <c r="K89" s="253"/>
      <c r="L89" s="302" t="s">
        <v>257</v>
      </c>
      <c r="M89" s="276">
        <f t="shared" si="17"/>
        <v>3767.4</v>
      </c>
      <c r="N89" s="276">
        <f t="shared" si="18"/>
        <v>1678.3</v>
      </c>
      <c r="O89" s="254">
        <f t="shared" si="19"/>
        <v>2089.1000000000004</v>
      </c>
    </row>
    <row r="90" spans="2:15">
      <c r="B90" s="302" t="s">
        <v>56</v>
      </c>
      <c r="C90" s="303">
        <f>SUM(C82:C89)</f>
        <v>3289000.8200000003</v>
      </c>
      <c r="D90" s="303">
        <f>SUM(D82:D89)</f>
        <v>1828046.63</v>
      </c>
      <c r="E90" s="303">
        <f>SUM(E82:E89)</f>
        <v>1460954.1900000002</v>
      </c>
      <c r="F90" s="252"/>
      <c r="G90" s="252"/>
      <c r="H90" s="252"/>
      <c r="I90" s="252"/>
      <c r="J90" s="252"/>
      <c r="K90" s="253"/>
      <c r="L90" s="302" t="s">
        <v>56</v>
      </c>
      <c r="M90" s="303">
        <f>SUM(M82:M89)</f>
        <v>3289000.8200000003</v>
      </c>
      <c r="N90" s="303">
        <f>SUM(N82:N89)</f>
        <v>1828046.63</v>
      </c>
      <c r="O90" s="303">
        <f>SUM(O82:O89)</f>
        <v>1460954.1900000002</v>
      </c>
    </row>
    <row r="91" spans="2:15" s="241" customFormat="1">
      <c r="B91" s="309"/>
      <c r="C91" s="298"/>
      <c r="D91" s="304"/>
      <c r="E91" s="305"/>
      <c r="F91" s="252"/>
      <c r="G91" s="252"/>
      <c r="H91" s="252"/>
      <c r="I91" s="252"/>
      <c r="J91" s="252"/>
      <c r="K91" s="253"/>
      <c r="L91" s="302"/>
      <c r="M91" s="276"/>
      <c r="N91" s="338"/>
      <c r="O91" s="277"/>
    </row>
    <row r="92" spans="2:15">
      <c r="B92" s="306" t="s">
        <v>83</v>
      </c>
      <c r="C92" s="304"/>
      <c r="D92" s="298"/>
      <c r="E92" s="305"/>
      <c r="F92" s="252"/>
      <c r="G92" s="252"/>
      <c r="H92" s="252"/>
      <c r="I92" s="252"/>
      <c r="J92" s="252"/>
      <c r="K92" s="253"/>
      <c r="L92" s="306" t="s">
        <v>83</v>
      </c>
      <c r="M92" s="304"/>
      <c r="N92" s="298"/>
      <c r="O92" s="305"/>
    </row>
    <row r="93" spans="2:15" s="238" customFormat="1">
      <c r="B93" s="339" t="s">
        <v>18</v>
      </c>
      <c r="C93" s="340"/>
      <c r="D93" s="341"/>
      <c r="E93" s="342"/>
      <c r="F93" s="252"/>
      <c r="G93" s="252"/>
      <c r="H93" s="252"/>
      <c r="I93" s="252"/>
      <c r="J93" s="252"/>
      <c r="K93" s="253"/>
      <c r="L93" s="339" t="s">
        <v>18</v>
      </c>
      <c r="M93" s="340"/>
      <c r="N93" s="341"/>
      <c r="O93" s="342"/>
    </row>
    <row r="94" spans="2:15" s="241" customFormat="1">
      <c r="B94" s="343" t="s">
        <v>91</v>
      </c>
      <c r="C94" s="275">
        <v>2838489.08</v>
      </c>
      <c r="D94" s="275">
        <v>1024282.19</v>
      </c>
      <c r="E94" s="254">
        <f t="shared" ref="E94:E102" si="20">C94-D94</f>
        <v>1814206.8900000001</v>
      </c>
      <c r="F94" s="252"/>
      <c r="G94" s="252"/>
      <c r="H94" s="252"/>
      <c r="I94" s="252"/>
      <c r="J94" s="252"/>
      <c r="K94" s="253"/>
      <c r="L94" s="302" t="s">
        <v>91</v>
      </c>
      <c r="M94" s="276">
        <f t="shared" ref="M94:M102" si="21">C94*($K94+1)/($F94+1)</f>
        <v>2838489.08</v>
      </c>
      <c r="N94" s="276">
        <f t="shared" ref="N94:N102" si="22">D94*($K94+1)/($F94+1)</f>
        <v>1024282.19</v>
      </c>
      <c r="O94" s="254">
        <f t="shared" ref="O94:O102" si="23">+M94-N94</f>
        <v>1814206.8900000001</v>
      </c>
    </row>
    <row r="95" spans="2:15" s="241" customFormat="1">
      <c r="B95" s="302" t="s">
        <v>261</v>
      </c>
      <c r="C95" s="275">
        <v>83544.3</v>
      </c>
      <c r="D95" s="275">
        <v>39664.65</v>
      </c>
      <c r="E95" s="254">
        <f t="shared" si="20"/>
        <v>43879.65</v>
      </c>
      <c r="F95" s="252"/>
      <c r="G95" s="252"/>
      <c r="H95" s="252"/>
      <c r="I95" s="252"/>
      <c r="J95" s="252"/>
      <c r="K95" s="253"/>
      <c r="L95" s="302" t="s">
        <v>261</v>
      </c>
      <c r="M95" s="276">
        <f t="shared" si="21"/>
        <v>83544.3</v>
      </c>
      <c r="N95" s="276">
        <f t="shared" si="22"/>
        <v>39664.65</v>
      </c>
      <c r="O95" s="254">
        <f t="shared" si="23"/>
        <v>43879.65</v>
      </c>
    </row>
    <row r="96" spans="2:15" s="241" customFormat="1">
      <c r="B96" s="302" t="s">
        <v>92</v>
      </c>
      <c r="C96" s="275">
        <v>2112842.67</v>
      </c>
      <c r="D96" s="275">
        <v>661415.23</v>
      </c>
      <c r="E96" s="254">
        <f t="shared" si="20"/>
        <v>1451427.44</v>
      </c>
      <c r="F96" s="252"/>
      <c r="G96" s="252"/>
      <c r="H96" s="252"/>
      <c r="I96" s="252"/>
      <c r="J96" s="252"/>
      <c r="K96" s="253"/>
      <c r="L96" s="302" t="s">
        <v>92</v>
      </c>
      <c r="M96" s="276">
        <f t="shared" si="21"/>
        <v>2112842.67</v>
      </c>
      <c r="N96" s="276">
        <f t="shared" si="22"/>
        <v>661415.23</v>
      </c>
      <c r="O96" s="254">
        <f t="shared" si="23"/>
        <v>1451427.44</v>
      </c>
    </row>
    <row r="97" spans="2:15" s="241" customFormat="1">
      <c r="B97" s="302" t="s">
        <v>93</v>
      </c>
      <c r="C97" s="275">
        <v>4072946.99</v>
      </c>
      <c r="D97" s="275">
        <v>3038525.97</v>
      </c>
      <c r="E97" s="254">
        <f t="shared" si="20"/>
        <v>1034421.02</v>
      </c>
      <c r="F97" s="252"/>
      <c r="G97" s="252"/>
      <c r="H97" s="252"/>
      <c r="I97" s="252"/>
      <c r="J97" s="252"/>
      <c r="K97" s="253"/>
      <c r="L97" s="302" t="s">
        <v>93</v>
      </c>
      <c r="M97" s="276">
        <f t="shared" si="21"/>
        <v>4072946.99</v>
      </c>
      <c r="N97" s="276">
        <f t="shared" si="22"/>
        <v>3038525.97</v>
      </c>
      <c r="O97" s="254">
        <f t="shared" si="23"/>
        <v>1034421.02</v>
      </c>
    </row>
    <row r="98" spans="2:15" s="241" customFormat="1">
      <c r="B98" s="302" t="s">
        <v>94</v>
      </c>
      <c r="C98" s="275"/>
      <c r="D98" s="275"/>
      <c r="E98" s="254">
        <f t="shared" si="20"/>
        <v>0</v>
      </c>
      <c r="F98" s="252"/>
      <c r="G98" s="252"/>
      <c r="H98" s="252"/>
      <c r="I98" s="252"/>
      <c r="J98" s="252"/>
      <c r="K98" s="253"/>
      <c r="L98" s="302" t="s">
        <v>94</v>
      </c>
      <c r="M98" s="276">
        <f t="shared" si="21"/>
        <v>0</v>
      </c>
      <c r="N98" s="276">
        <f t="shared" si="22"/>
        <v>0</v>
      </c>
      <c r="O98" s="254">
        <f t="shared" si="23"/>
        <v>0</v>
      </c>
    </row>
    <row r="99" spans="2:15" s="241" customFormat="1">
      <c r="B99" s="302" t="s">
        <v>95</v>
      </c>
      <c r="C99" s="275">
        <v>4486733.0199999996</v>
      </c>
      <c r="D99" s="275">
        <v>2294922.11</v>
      </c>
      <c r="E99" s="254">
        <f t="shared" si="20"/>
        <v>2191810.9099999997</v>
      </c>
      <c r="F99" s="252"/>
      <c r="G99" s="252"/>
      <c r="H99" s="252"/>
      <c r="I99" s="252"/>
      <c r="J99" s="252"/>
      <c r="K99" s="253"/>
      <c r="L99" s="302" t="s">
        <v>95</v>
      </c>
      <c r="M99" s="276">
        <f t="shared" si="21"/>
        <v>4486733.0199999996</v>
      </c>
      <c r="N99" s="276">
        <f t="shared" si="22"/>
        <v>2294922.11</v>
      </c>
      <c r="O99" s="254">
        <f t="shared" si="23"/>
        <v>2191810.9099999997</v>
      </c>
    </row>
    <row r="100" spans="2:15" s="241" customFormat="1">
      <c r="B100" s="302" t="s">
        <v>96</v>
      </c>
      <c r="C100" s="275">
        <v>1669071.93</v>
      </c>
      <c r="D100" s="275">
        <v>1222637.8899999999</v>
      </c>
      <c r="E100" s="254">
        <f t="shared" si="20"/>
        <v>446434.04000000004</v>
      </c>
      <c r="F100" s="252"/>
      <c r="G100" s="252"/>
      <c r="H100" s="252"/>
      <c r="I100" s="252"/>
      <c r="J100" s="252"/>
      <c r="K100" s="253"/>
      <c r="L100" s="302" t="s">
        <v>96</v>
      </c>
      <c r="M100" s="276">
        <f t="shared" si="21"/>
        <v>1669071.93</v>
      </c>
      <c r="N100" s="276">
        <f t="shared" si="22"/>
        <v>1222637.8899999999</v>
      </c>
      <c r="O100" s="254">
        <f t="shared" si="23"/>
        <v>446434.04000000004</v>
      </c>
    </row>
    <row r="101" spans="2:15" s="241" customFormat="1">
      <c r="B101" s="302" t="s">
        <v>97</v>
      </c>
      <c r="C101" s="275">
        <v>10426342.41</v>
      </c>
      <c r="D101" s="275">
        <v>4803467.13</v>
      </c>
      <c r="E101" s="254">
        <f t="shared" si="20"/>
        <v>5622875.2800000003</v>
      </c>
      <c r="F101" s="252"/>
      <c r="G101" s="252"/>
      <c r="H101" s="252"/>
      <c r="I101" s="252"/>
      <c r="J101" s="252"/>
      <c r="K101" s="253"/>
      <c r="L101" s="302" t="s">
        <v>97</v>
      </c>
      <c r="M101" s="276">
        <f t="shared" si="21"/>
        <v>10426342.41</v>
      </c>
      <c r="N101" s="276">
        <f t="shared" si="22"/>
        <v>4803467.13</v>
      </c>
      <c r="O101" s="254">
        <f t="shared" si="23"/>
        <v>5622875.2800000003</v>
      </c>
    </row>
    <row r="102" spans="2:15" s="241" customFormat="1" ht="13.5" thickBot="1">
      <c r="B102" s="302" t="s">
        <v>262</v>
      </c>
      <c r="C102" s="286">
        <v>0</v>
      </c>
      <c r="D102" s="286">
        <v>0</v>
      </c>
      <c r="E102" s="257">
        <f t="shared" si="20"/>
        <v>0</v>
      </c>
      <c r="F102" s="252"/>
      <c r="G102" s="252"/>
      <c r="H102" s="252"/>
      <c r="I102" s="252"/>
      <c r="J102" s="252"/>
      <c r="K102" s="253"/>
      <c r="L102" s="302" t="s">
        <v>262</v>
      </c>
      <c r="M102" s="276">
        <f t="shared" si="21"/>
        <v>0</v>
      </c>
      <c r="N102" s="276">
        <f t="shared" si="22"/>
        <v>0</v>
      </c>
      <c r="O102" s="254">
        <f t="shared" si="23"/>
        <v>0</v>
      </c>
    </row>
    <row r="103" spans="2:15">
      <c r="B103" s="302" t="s">
        <v>56</v>
      </c>
      <c r="C103" s="307">
        <f>SUM(C94:C102)</f>
        <v>25689970.399999999</v>
      </c>
      <c r="D103" s="307">
        <f>SUM(D94:D102)</f>
        <v>13084915.17</v>
      </c>
      <c r="E103" s="307">
        <f>SUM(E94:E102)</f>
        <v>12605055.23</v>
      </c>
      <c r="F103" s="252"/>
      <c r="G103" s="252"/>
      <c r="H103" s="252"/>
      <c r="I103" s="252"/>
      <c r="J103" s="252"/>
      <c r="K103" s="253"/>
      <c r="L103" s="302" t="s">
        <v>56</v>
      </c>
      <c r="M103" s="307">
        <f>SUM(M94:M102)</f>
        <v>25689970.399999999</v>
      </c>
      <c r="N103" s="307">
        <f>SUM(N94:N102)</f>
        <v>13084915.17</v>
      </c>
      <c r="O103" s="307">
        <f>SUM(O94:O102)</f>
        <v>12605055.23</v>
      </c>
    </row>
    <row r="104" spans="2:15" s="241" customFormat="1">
      <c r="B104" s="309"/>
      <c r="C104" s="304"/>
      <c r="D104" s="298"/>
      <c r="E104" s="305"/>
      <c r="F104" s="252"/>
      <c r="G104" s="252"/>
      <c r="H104" s="252"/>
      <c r="I104" s="252"/>
      <c r="J104" s="252"/>
      <c r="K104" s="253"/>
      <c r="L104" s="302"/>
      <c r="M104" s="338"/>
      <c r="N104" s="276"/>
      <c r="O104" s="277"/>
    </row>
    <row r="105" spans="2:15">
      <c r="B105" s="308" t="s">
        <v>53</v>
      </c>
      <c r="C105" s="304"/>
      <c r="D105" s="298"/>
      <c r="E105" s="305"/>
      <c r="F105" s="252"/>
      <c r="G105" s="252"/>
      <c r="H105" s="252"/>
      <c r="I105" s="252"/>
      <c r="J105" s="252"/>
      <c r="K105" s="253"/>
      <c r="L105" s="308" t="s">
        <v>53</v>
      </c>
      <c r="M105" s="304"/>
      <c r="N105" s="298"/>
      <c r="O105" s="305"/>
    </row>
    <row r="106" spans="2:15" s="241" customFormat="1">
      <c r="B106" s="309" t="s">
        <v>91</v>
      </c>
      <c r="C106" s="275">
        <v>1379280.94</v>
      </c>
      <c r="D106" s="275">
        <v>815366.59</v>
      </c>
      <c r="E106" s="254">
        <f t="shared" ref="E106:E111" si="24">C106-D106</f>
        <v>563914.35</v>
      </c>
      <c r="F106" s="252"/>
      <c r="G106" s="252"/>
      <c r="H106" s="252"/>
      <c r="I106" s="252"/>
      <c r="J106" s="252"/>
      <c r="K106" s="253"/>
      <c r="L106" s="302" t="s">
        <v>91</v>
      </c>
      <c r="M106" s="276">
        <f t="shared" ref="M106:M111" si="25">C106*($K106+1)/($F106+1)</f>
        <v>1379280.94</v>
      </c>
      <c r="N106" s="276">
        <f t="shared" ref="N106:N111" si="26">D106*($K106+1)/($F106+1)</f>
        <v>815366.59</v>
      </c>
      <c r="O106" s="254">
        <f t="shared" ref="O106:O111" si="27">+M106-N106</f>
        <v>563914.35</v>
      </c>
    </row>
    <row r="107" spans="2:15" s="241" customFormat="1">
      <c r="B107" s="302" t="s">
        <v>92</v>
      </c>
      <c r="C107" s="275">
        <v>126850.72</v>
      </c>
      <c r="D107" s="275">
        <v>75428.78</v>
      </c>
      <c r="E107" s="254">
        <f t="shared" si="24"/>
        <v>51421.94</v>
      </c>
      <c r="F107" s="252"/>
      <c r="G107" s="252"/>
      <c r="H107" s="252"/>
      <c r="I107" s="252"/>
      <c r="J107" s="252"/>
      <c r="K107" s="253"/>
      <c r="L107" s="302" t="s">
        <v>92</v>
      </c>
      <c r="M107" s="276">
        <f t="shared" si="25"/>
        <v>126850.72</v>
      </c>
      <c r="N107" s="276">
        <f t="shared" si="26"/>
        <v>75428.78</v>
      </c>
      <c r="O107" s="254">
        <f t="shared" si="27"/>
        <v>51421.94</v>
      </c>
    </row>
    <row r="108" spans="2:15" s="241" customFormat="1">
      <c r="B108" s="302" t="s">
        <v>93</v>
      </c>
      <c r="C108" s="275">
        <v>60010</v>
      </c>
      <c r="D108" s="275">
        <v>47484.51</v>
      </c>
      <c r="E108" s="254">
        <f t="shared" si="24"/>
        <v>12525.489999999998</v>
      </c>
      <c r="F108" s="252"/>
      <c r="G108" s="252"/>
      <c r="H108" s="252"/>
      <c r="I108" s="252"/>
      <c r="J108" s="252"/>
      <c r="K108" s="253"/>
      <c r="L108" s="302" t="s">
        <v>93</v>
      </c>
      <c r="M108" s="276">
        <f t="shared" si="25"/>
        <v>60010</v>
      </c>
      <c r="N108" s="276">
        <f t="shared" si="26"/>
        <v>47484.51</v>
      </c>
      <c r="O108" s="254">
        <f t="shared" si="27"/>
        <v>12525.489999999998</v>
      </c>
    </row>
    <row r="109" spans="2:15" s="241" customFormat="1">
      <c r="B109" s="302" t="s">
        <v>258</v>
      </c>
      <c r="C109" s="275">
        <v>50231.06</v>
      </c>
      <c r="D109" s="275">
        <v>3036.12</v>
      </c>
      <c r="E109" s="254">
        <f t="shared" si="24"/>
        <v>47194.939999999995</v>
      </c>
      <c r="F109" s="252"/>
      <c r="G109" s="252"/>
      <c r="H109" s="252"/>
      <c r="I109" s="252"/>
      <c r="J109" s="252"/>
      <c r="K109" s="253"/>
      <c r="L109" s="302" t="s">
        <v>258</v>
      </c>
      <c r="M109" s="276">
        <f t="shared" si="25"/>
        <v>50231.06</v>
      </c>
      <c r="N109" s="276">
        <f t="shared" si="26"/>
        <v>3036.12</v>
      </c>
      <c r="O109" s="254">
        <f t="shared" si="27"/>
        <v>47194.939999999995</v>
      </c>
    </row>
    <row r="110" spans="2:15" s="241" customFormat="1">
      <c r="B110" s="302" t="s">
        <v>95</v>
      </c>
      <c r="C110" s="275">
        <v>4170503.34</v>
      </c>
      <c r="D110" s="275">
        <v>900961.63</v>
      </c>
      <c r="E110" s="254">
        <f t="shared" si="24"/>
        <v>3269541.71</v>
      </c>
      <c r="F110" s="252"/>
      <c r="G110" s="252"/>
      <c r="H110" s="252"/>
      <c r="I110" s="252"/>
      <c r="J110" s="252"/>
      <c r="K110" s="253"/>
      <c r="L110" s="302" t="s">
        <v>95</v>
      </c>
      <c r="M110" s="276">
        <f t="shared" si="25"/>
        <v>4170503.34</v>
      </c>
      <c r="N110" s="276">
        <f t="shared" si="26"/>
        <v>900961.63</v>
      </c>
      <c r="O110" s="254">
        <f t="shared" si="27"/>
        <v>3269541.71</v>
      </c>
    </row>
    <row r="111" spans="2:15" s="241" customFormat="1" ht="13.5" thickBot="1">
      <c r="B111" s="302" t="s">
        <v>97</v>
      </c>
      <c r="C111" s="286">
        <v>568865.62</v>
      </c>
      <c r="D111" s="286">
        <v>430356.69</v>
      </c>
      <c r="E111" s="257">
        <f t="shared" si="24"/>
        <v>138508.93</v>
      </c>
      <c r="F111" s="252"/>
      <c r="G111" s="252"/>
      <c r="H111" s="252"/>
      <c r="I111" s="252"/>
      <c r="J111" s="252"/>
      <c r="K111" s="253"/>
      <c r="L111" s="302" t="s">
        <v>97</v>
      </c>
      <c r="M111" s="276">
        <f t="shared" si="25"/>
        <v>568865.62</v>
      </c>
      <c r="N111" s="276">
        <f t="shared" si="26"/>
        <v>430356.69</v>
      </c>
      <c r="O111" s="254">
        <f t="shared" si="27"/>
        <v>138508.93</v>
      </c>
    </row>
    <row r="112" spans="2:15">
      <c r="B112" s="302" t="s">
        <v>56</v>
      </c>
      <c r="C112" s="303">
        <f>SUM(C106:C111)</f>
        <v>6355741.6799999997</v>
      </c>
      <c r="D112" s="303">
        <f>SUM(D106:D111)</f>
        <v>2272634.3199999998</v>
      </c>
      <c r="E112" s="303">
        <f>SUM(E106:E111)</f>
        <v>4083107.36</v>
      </c>
      <c r="F112" s="252"/>
      <c r="G112" s="252"/>
      <c r="H112" s="252"/>
      <c r="I112" s="252"/>
      <c r="J112" s="252"/>
      <c r="K112" s="253"/>
      <c r="L112" s="302" t="s">
        <v>56</v>
      </c>
      <c r="M112" s="303">
        <f>SUM(M106:M111)</f>
        <v>6355741.6799999997</v>
      </c>
      <c r="N112" s="303">
        <f>SUM(N106:N111)</f>
        <v>2272634.3199999998</v>
      </c>
      <c r="O112" s="303">
        <f>SUM(O106:O111)</f>
        <v>4083107.36</v>
      </c>
    </row>
    <row r="113" spans="2:15" s="241" customFormat="1">
      <c r="B113" s="309"/>
      <c r="C113" s="305"/>
      <c r="D113" s="298"/>
      <c r="E113" s="305"/>
      <c r="F113" s="252"/>
      <c r="G113" s="252"/>
      <c r="H113" s="252"/>
      <c r="I113" s="252"/>
      <c r="J113" s="252"/>
      <c r="K113" s="253"/>
      <c r="L113" s="302"/>
      <c r="M113" s="277"/>
      <c r="N113" s="276"/>
      <c r="O113" s="277"/>
    </row>
    <row r="114" spans="2:15">
      <c r="B114" s="310" t="s">
        <v>195</v>
      </c>
      <c r="C114" s="305"/>
      <c r="D114" s="305"/>
      <c r="E114" s="305"/>
      <c r="F114" s="252"/>
      <c r="G114" s="252"/>
      <c r="H114" s="252"/>
      <c r="I114" s="252"/>
      <c r="J114" s="252"/>
      <c r="K114" s="253"/>
      <c r="L114" s="310" t="s">
        <v>195</v>
      </c>
      <c r="M114" s="305"/>
      <c r="N114" s="305"/>
      <c r="O114" s="305"/>
    </row>
    <row r="115" spans="2:15" s="241" customFormat="1">
      <c r="B115" s="309" t="s">
        <v>55</v>
      </c>
      <c r="C115" s="275">
        <v>6554657.5800000001</v>
      </c>
      <c r="D115" s="275">
        <v>3375590.93</v>
      </c>
      <c r="E115" s="254">
        <f>C115-D115</f>
        <v>3179066.65</v>
      </c>
      <c r="F115" s="252"/>
      <c r="G115" s="252"/>
      <c r="H115" s="252"/>
      <c r="I115" s="252"/>
      <c r="J115" s="252"/>
      <c r="K115" s="253"/>
      <c r="L115" s="302" t="s">
        <v>55</v>
      </c>
      <c r="M115" s="276">
        <f>C115*($K115+1)/($F115+1)</f>
        <v>6554657.5800000001</v>
      </c>
      <c r="N115" s="276">
        <f>D115*($K115+1)/($F115+1)</f>
        <v>3375590.93</v>
      </c>
      <c r="O115" s="254">
        <f>+M115-N115</f>
        <v>3179066.65</v>
      </c>
    </row>
    <row r="116" spans="2:15" s="241" customFormat="1">
      <c r="B116" s="302" t="s">
        <v>260</v>
      </c>
      <c r="C116" s="275">
        <v>1568647.31</v>
      </c>
      <c r="D116" s="275">
        <v>0</v>
      </c>
      <c r="E116" s="254">
        <f>C116-D116</f>
        <v>1568647.31</v>
      </c>
      <c r="F116" s="252"/>
      <c r="G116" s="252"/>
      <c r="H116" s="252"/>
      <c r="I116" s="252"/>
      <c r="J116" s="252"/>
      <c r="K116" s="253"/>
      <c r="L116" s="302" t="s">
        <v>260</v>
      </c>
      <c r="M116" s="276">
        <f>C116*($K116+1)/($F116+1)</f>
        <v>1568647.31</v>
      </c>
      <c r="N116" s="276">
        <f>D116*($K116+1)/($F116+1)</f>
        <v>0</v>
      </c>
      <c r="O116" s="254">
        <f>+M116-N116</f>
        <v>1568647.31</v>
      </c>
    </row>
    <row r="117" spans="2:15">
      <c r="B117" s="302" t="s">
        <v>56</v>
      </c>
      <c r="C117" s="303">
        <f>SUM(C115:C116)</f>
        <v>8123304.8900000006</v>
      </c>
      <c r="D117" s="303">
        <f>SUM(D115:D116)</f>
        <v>3375590.93</v>
      </c>
      <c r="E117" s="303">
        <f>SUM(E115:E116)</f>
        <v>4747713.96</v>
      </c>
      <c r="F117" s="252"/>
      <c r="G117" s="252"/>
      <c r="H117" s="252"/>
      <c r="I117" s="252"/>
      <c r="J117" s="252"/>
      <c r="K117" s="253"/>
      <c r="L117" s="302" t="s">
        <v>56</v>
      </c>
      <c r="M117" s="303">
        <f>SUM(M115:M116)</f>
        <v>8123304.8900000006</v>
      </c>
      <c r="N117" s="303">
        <f>SUM(N115:N116)</f>
        <v>3375590.93</v>
      </c>
      <c r="O117" s="303">
        <f>SUM(O115:O116)</f>
        <v>4747713.96</v>
      </c>
    </row>
    <row r="118" spans="2:15" s="241" customFormat="1">
      <c r="B118" s="309"/>
      <c r="C118" s="305"/>
      <c r="D118" s="305"/>
      <c r="E118" s="305"/>
      <c r="F118" s="252"/>
      <c r="G118" s="311">
        <v>2.5000000000000001E-3</v>
      </c>
      <c r="H118" s="252"/>
      <c r="I118" s="252"/>
      <c r="J118" s="252"/>
      <c r="K118" s="253"/>
      <c r="L118" s="302"/>
      <c r="M118" s="277"/>
      <c r="N118" s="277"/>
      <c r="O118" s="277"/>
    </row>
    <row r="119" spans="2:15" s="312" customFormat="1">
      <c r="B119" s="312" t="s">
        <v>16</v>
      </c>
      <c r="C119" s="303">
        <f>+C35+C79+C90+C103+C112+C117</f>
        <v>276767701.89999998</v>
      </c>
      <c r="D119" s="303">
        <f>+D35+D79+D90+D103+D112+D117</f>
        <v>103429571.53999998</v>
      </c>
      <c r="E119" s="303">
        <f>+E35+E79+E90+E103+E112+E117</f>
        <v>173338130.36000004</v>
      </c>
      <c r="F119" s="313"/>
      <c r="G119" s="313"/>
      <c r="H119" s="313"/>
      <c r="I119" s="313"/>
      <c r="J119" s="313"/>
      <c r="K119" s="314"/>
      <c r="L119" s="312" t="s">
        <v>16</v>
      </c>
      <c r="M119" s="303">
        <f>+M35+M79+M90+M103+M112+M117</f>
        <v>270800824.23558211</v>
      </c>
      <c r="N119" s="303">
        <f>+N35+N79+N90+N103+N112+N117</f>
        <v>102989346.42409244</v>
      </c>
      <c r="O119" s="303">
        <f>+O35+O79+O90+O103+O112+O117</f>
        <v>167811477.8114897</v>
      </c>
    </row>
    <row r="120" spans="2:15">
      <c r="B120" s="309"/>
      <c r="C120" s="305"/>
      <c r="D120" s="305"/>
      <c r="E120" s="305"/>
    </row>
    <row r="121" spans="2:15">
      <c r="B121" s="309"/>
      <c r="C121" s="309"/>
      <c r="D121" s="309"/>
      <c r="E121" s="309"/>
    </row>
    <row r="122" spans="2:15">
      <c r="B122" s="309"/>
      <c r="C122" s="261">
        <f>+C8+C9+C12</f>
        <v>258999654.51000002</v>
      </c>
      <c r="D122" s="309"/>
      <c r="E122" s="309"/>
      <c r="M122" s="261">
        <f>+M8+M9+M12</f>
        <v>253032776.8455821</v>
      </c>
    </row>
    <row r="123" spans="2:15">
      <c r="B123" s="309"/>
      <c r="C123" s="305"/>
      <c r="D123" s="309"/>
      <c r="E123" s="309"/>
    </row>
    <row r="124" spans="2:15">
      <c r="B124" s="309"/>
      <c r="C124" s="305"/>
      <c r="D124" s="309"/>
      <c r="E124" s="309"/>
    </row>
    <row r="125" spans="2:15">
      <c r="B125" s="264" t="s">
        <v>429</v>
      </c>
      <c r="C125" s="309"/>
      <c r="D125" s="309"/>
      <c r="E125" s="309"/>
    </row>
    <row r="126" spans="2:15">
      <c r="B126" s="309"/>
      <c r="C126" s="309"/>
      <c r="D126" s="309"/>
      <c r="E126" s="309"/>
    </row>
    <row r="127" spans="2:15" s="337" customFormat="1">
      <c r="B127" s="344" t="s">
        <v>430</v>
      </c>
      <c r="C127" s="345"/>
      <c r="D127" s="345"/>
      <c r="E127" s="345"/>
    </row>
    <row r="128" spans="2:15" s="337" customFormat="1">
      <c r="B128" s="345"/>
      <c r="C128" s="345"/>
      <c r="D128" s="345"/>
      <c r="E128" s="345"/>
    </row>
    <row r="129" spans="2:8">
      <c r="B129" s="1088" t="s">
        <v>431</v>
      </c>
      <c r="C129" s="1104"/>
      <c r="D129" s="1104"/>
      <c r="E129" s="1104"/>
      <c r="F129" s="1105"/>
    </row>
    <row r="130" spans="2:8">
      <c r="B130" s="1091" t="s">
        <v>432</v>
      </c>
      <c r="C130" s="1106"/>
      <c r="D130" s="1106"/>
      <c r="E130" s="1106"/>
      <c r="F130" s="1107"/>
    </row>
    <row r="131" spans="2:8">
      <c r="B131" s="1108" t="s">
        <v>433</v>
      </c>
      <c r="C131" s="1109"/>
      <c r="D131" s="1109"/>
      <c r="E131" s="1106"/>
      <c r="F131" s="1107"/>
    </row>
    <row r="132" spans="2:8" ht="25.5">
      <c r="B132" s="615" t="s">
        <v>434</v>
      </c>
      <c r="C132" s="615" t="s">
        <v>465</v>
      </c>
      <c r="D132" s="1099" t="s">
        <v>467</v>
      </c>
      <c r="E132" s="1100"/>
      <c r="F132" s="615" t="s">
        <v>466</v>
      </c>
    </row>
    <row r="133" spans="2:8">
      <c r="B133" s="614" t="s">
        <v>435</v>
      </c>
      <c r="C133" s="616"/>
      <c r="D133" s="616"/>
      <c r="E133" s="616"/>
      <c r="F133" s="616"/>
    </row>
    <row r="134" spans="2:8">
      <c r="B134" s="617" t="s">
        <v>436</v>
      </c>
      <c r="C134" s="618">
        <v>21598890.9034</v>
      </c>
      <c r="D134" s="619">
        <f>+C134/$C$161</f>
        <v>0.3690732463174734</v>
      </c>
      <c r="E134" s="619"/>
      <c r="F134" s="618"/>
      <c r="H134" s="261"/>
    </row>
    <row r="135" spans="2:8">
      <c r="B135" s="617" t="s">
        <v>437</v>
      </c>
      <c r="C135" s="618">
        <v>12997076.399999997</v>
      </c>
      <c r="D135" s="619">
        <f>+C135/$C$161</f>
        <v>0.22208886562916602</v>
      </c>
      <c r="E135" s="619"/>
      <c r="F135" s="618"/>
      <c r="H135" s="655"/>
    </row>
    <row r="136" spans="2:8">
      <c r="B136" s="617" t="s">
        <v>438</v>
      </c>
      <c r="C136" s="618">
        <v>134620.6324</v>
      </c>
      <c r="D136" s="619">
        <f>+C136/$C$161</f>
        <v>2.3003437557693332E-3</v>
      </c>
      <c r="E136" s="619"/>
      <c r="F136" s="618"/>
      <c r="H136" s="656"/>
    </row>
    <row r="137" spans="2:8">
      <c r="B137" s="657" t="s">
        <v>452</v>
      </c>
      <c r="C137" s="621">
        <f>+SUM(C134:C136)</f>
        <v>34730587.935799994</v>
      </c>
      <c r="D137" s="622">
        <f>+SUM(D134:D136)</f>
        <v>0.59346245570240885</v>
      </c>
      <c r="E137" s="622"/>
      <c r="F137" s="621">
        <f>+C137</f>
        <v>34730587.935799994</v>
      </c>
      <c r="H137" s="261"/>
    </row>
    <row r="138" spans="2:8">
      <c r="B138" s="614" t="s">
        <v>439</v>
      </c>
      <c r="C138" s="616"/>
      <c r="D138" s="1097" t="s">
        <v>453</v>
      </c>
      <c r="E138" s="1098"/>
      <c r="F138" s="616"/>
    </row>
    <row r="139" spans="2:8">
      <c r="B139" s="620"/>
      <c r="C139" s="616"/>
      <c r="D139" s="623" t="s">
        <v>455</v>
      </c>
      <c r="E139" s="623" t="s">
        <v>454</v>
      </c>
      <c r="F139" s="616"/>
    </row>
    <row r="140" spans="2:8" ht="9.75" hidden="1" customHeight="1">
      <c r="B140" s="620"/>
      <c r="C140" s="616"/>
      <c r="D140" s="623"/>
      <c r="E140" s="623"/>
      <c r="F140" s="616"/>
    </row>
    <row r="141" spans="2:8" ht="15">
      <c r="B141" s="617" t="s">
        <v>440</v>
      </c>
      <c r="C141" s="618">
        <v>2358089.071002</v>
      </c>
      <c r="D141" s="619">
        <f>+C141/$C$137</f>
        <v>6.7896606742188254E-2</v>
      </c>
      <c r="E141" s="619">
        <v>0.03</v>
      </c>
      <c r="F141" s="618">
        <f>+E141*$C$137</f>
        <v>1041917.6380739998</v>
      </c>
      <c r="H141" s="481"/>
    </row>
    <row r="142" spans="2:8" hidden="1">
      <c r="B142" s="617"/>
      <c r="C142" s="618"/>
      <c r="D142" s="619"/>
      <c r="E142" s="619"/>
      <c r="F142" s="618"/>
    </row>
    <row r="143" spans="2:8">
      <c r="B143" s="617" t="s">
        <v>441</v>
      </c>
      <c r="C143" s="618">
        <v>2369937.17</v>
      </c>
      <c r="D143" s="619">
        <f t="shared" ref="D143:D158" si="28">+C143/$C$137</f>
        <v>6.8237749800863265E-2</v>
      </c>
      <c r="E143" s="619"/>
      <c r="F143" s="618">
        <f>195*15000</f>
        <v>2925000</v>
      </c>
    </row>
    <row r="144" spans="2:8">
      <c r="B144" s="617" t="s">
        <v>763</v>
      </c>
      <c r="C144" s="618">
        <v>152844.28</v>
      </c>
      <c r="D144" s="619">
        <f t="shared" si="28"/>
        <v>4.4008549547889866E-3</v>
      </c>
      <c r="E144" s="619"/>
      <c r="F144" s="618">
        <f>+C144</f>
        <v>152844.28</v>
      </c>
    </row>
    <row r="145" spans="2:8" hidden="1">
      <c r="B145" s="617"/>
      <c r="C145" s="618"/>
      <c r="D145" s="619"/>
      <c r="E145" s="619"/>
      <c r="F145" s="618"/>
    </row>
    <row r="146" spans="2:8">
      <c r="B146" s="617" t="s">
        <v>442</v>
      </c>
      <c r="C146" s="618">
        <v>225162.59</v>
      </c>
      <c r="D146" s="619">
        <f t="shared" si="28"/>
        <v>6.4831205972158143E-3</v>
      </c>
      <c r="E146" s="619"/>
      <c r="F146" s="618"/>
    </row>
    <row r="147" spans="2:8" ht="13.5" hidden="1" thickBot="1">
      <c r="B147" s="617"/>
      <c r="C147" s="618"/>
      <c r="D147" s="619"/>
      <c r="E147" s="619"/>
      <c r="F147" s="618"/>
    </row>
    <row r="148" spans="2:8">
      <c r="B148" s="617" t="s">
        <v>443</v>
      </c>
      <c r="C148" s="618">
        <v>720670.64</v>
      </c>
      <c r="D148" s="619">
        <f t="shared" si="28"/>
        <v>2.0750315005670806E-2</v>
      </c>
      <c r="E148" s="619"/>
      <c r="F148" s="618">
        <f>195*2500</f>
        <v>487500</v>
      </c>
    </row>
    <row r="149" spans="2:8" hidden="1">
      <c r="B149" s="617"/>
      <c r="C149" s="618"/>
      <c r="D149" s="619"/>
      <c r="E149" s="619"/>
      <c r="F149" s="618"/>
    </row>
    <row r="150" spans="2:8">
      <c r="B150" s="617" t="s">
        <v>444</v>
      </c>
      <c r="C150" s="618">
        <v>2660102.1421714285</v>
      </c>
      <c r="D150" s="619">
        <f t="shared" si="28"/>
        <v>7.659248807099571E-2</v>
      </c>
      <c r="E150" s="619">
        <v>0.04</v>
      </c>
      <c r="F150" s="618">
        <f>+E150*$C$137</f>
        <v>1389223.5174319998</v>
      </c>
    </row>
    <row r="151" spans="2:8" hidden="1">
      <c r="B151" s="617"/>
      <c r="C151" s="618"/>
      <c r="D151" s="619"/>
      <c r="E151" s="619"/>
      <c r="F151" s="618"/>
    </row>
    <row r="152" spans="2:8">
      <c r="B152" s="617" t="s">
        <v>445</v>
      </c>
      <c r="C152" s="618">
        <v>2666782.1733074291</v>
      </c>
      <c r="D152" s="619">
        <f t="shared" si="28"/>
        <v>7.6784826627093544E-2</v>
      </c>
      <c r="E152" s="619">
        <v>0.04</v>
      </c>
      <c r="F152" s="618">
        <f>+E152*$C$137</f>
        <v>1389223.5174319998</v>
      </c>
    </row>
    <row r="153" spans="2:8" hidden="1">
      <c r="B153" s="617"/>
      <c r="C153" s="618"/>
      <c r="D153" s="619"/>
      <c r="E153" s="619"/>
      <c r="F153" s="618"/>
    </row>
    <row r="154" spans="2:8">
      <c r="B154" s="617" t="s">
        <v>446</v>
      </c>
      <c r="C154" s="618">
        <v>2360983.5010019997</v>
      </c>
      <c r="D154" s="619">
        <f t="shared" si="28"/>
        <v>6.7979946246988748E-2</v>
      </c>
      <c r="E154" s="619">
        <v>0.03</v>
      </c>
      <c r="F154" s="618">
        <f>+E154*$C$137</f>
        <v>1041917.6380739998</v>
      </c>
    </row>
    <row r="155" spans="2:8" hidden="1">
      <c r="B155" s="617"/>
      <c r="C155" s="618"/>
      <c r="D155" s="619"/>
      <c r="E155" s="624"/>
      <c r="F155" s="618"/>
    </row>
    <row r="156" spans="2:8">
      <c r="B156" s="617" t="s">
        <v>447</v>
      </c>
      <c r="C156" s="618">
        <v>3505952.42</v>
      </c>
      <c r="D156" s="619">
        <f t="shared" si="28"/>
        <v>0.10094710825168883</v>
      </c>
      <c r="E156" s="619">
        <v>0.06</v>
      </c>
      <c r="F156" s="618">
        <f>+(E156*$C$137)</f>
        <v>2083835.2761479996</v>
      </c>
    </row>
    <row r="157" spans="2:8" hidden="1">
      <c r="B157" s="617"/>
      <c r="C157" s="618"/>
      <c r="D157" s="619"/>
      <c r="E157" s="624"/>
      <c r="F157" s="618"/>
    </row>
    <row r="158" spans="2:8">
      <c r="B158" s="617" t="s">
        <v>448</v>
      </c>
      <c r="C158" s="618">
        <v>6770851.1799999997</v>
      </c>
      <c r="D158" s="619">
        <f t="shared" si="28"/>
        <v>0.19495354332947137</v>
      </c>
      <c r="E158" s="624"/>
      <c r="F158" s="618"/>
    </row>
    <row r="159" spans="2:8" s="348" customFormat="1" hidden="1">
      <c r="B159" s="620"/>
      <c r="C159" s="618"/>
      <c r="D159" s="619"/>
      <c r="E159" s="625"/>
      <c r="F159" s="626"/>
      <c r="H159" s="245"/>
    </row>
    <row r="160" spans="2:8">
      <c r="B160" s="657" t="s">
        <v>56</v>
      </c>
      <c r="C160" s="621">
        <f>+SUM(C141:C158)</f>
        <v>23791375.167482853</v>
      </c>
      <c r="D160" s="622">
        <f>+C160/C161</f>
        <v>0.40653754429759126</v>
      </c>
      <c r="E160" s="627"/>
      <c r="F160" s="621">
        <f>+SUM(F141:F159)</f>
        <v>10511461.867159998</v>
      </c>
      <c r="G160" s="315"/>
    </row>
    <row r="161" spans="2:7">
      <c r="B161" s="628" t="s">
        <v>449</v>
      </c>
      <c r="C161" s="621">
        <f>+C160+C137</f>
        <v>58521963.103282847</v>
      </c>
      <c r="D161" s="622">
        <f>+D160+D137</f>
        <v>1</v>
      </c>
      <c r="E161" s="627"/>
      <c r="F161" s="621">
        <f>+F160+F137</f>
        <v>45242049.802959993</v>
      </c>
      <c r="G161" s="261"/>
    </row>
    <row r="162" spans="2:7" hidden="1">
      <c r="B162" s="346"/>
      <c r="C162" s="320"/>
      <c r="D162" s="321"/>
      <c r="E162" s="322"/>
      <c r="F162" s="320"/>
    </row>
    <row r="163" spans="2:7">
      <c r="B163" s="316"/>
      <c r="C163" s="288"/>
      <c r="D163" s="317"/>
      <c r="E163" s="317"/>
      <c r="F163" s="318"/>
      <c r="G163" s="261"/>
    </row>
    <row r="164" spans="2:7">
      <c r="B164" s="319" t="s">
        <v>450</v>
      </c>
      <c r="C164" s="320"/>
      <c r="D164" s="321"/>
      <c r="E164" s="322"/>
      <c r="F164" s="320"/>
    </row>
    <row r="165" spans="2:7">
      <c r="B165" s="319" t="s">
        <v>451</v>
      </c>
      <c r="C165" s="320"/>
      <c r="D165" s="321"/>
      <c r="E165" s="322"/>
      <c r="F165" s="320"/>
    </row>
    <row r="166" spans="2:7">
      <c r="C166" s="323"/>
      <c r="D166" s="324"/>
      <c r="E166" s="324"/>
    </row>
    <row r="167" spans="2:7">
      <c r="B167" s="344" t="s">
        <v>560</v>
      </c>
      <c r="C167" s="316"/>
      <c r="D167" s="316"/>
      <c r="E167" s="316"/>
      <c r="F167" s="316"/>
      <c r="G167" s="350"/>
    </row>
    <row r="169" spans="2:7">
      <c r="B169" s="1088" t="s">
        <v>431</v>
      </c>
      <c r="C169" s="1089"/>
      <c r="D169" s="1089"/>
      <c r="E169" s="1089"/>
      <c r="F169" s="1090"/>
    </row>
    <row r="170" spans="2:7">
      <c r="B170" s="1091" t="s">
        <v>561</v>
      </c>
      <c r="C170" s="1092"/>
      <c r="D170" s="1092"/>
      <c r="E170" s="1092"/>
      <c r="F170" s="1093"/>
    </row>
    <row r="171" spans="2:7">
      <c r="B171" s="1091" t="s">
        <v>433</v>
      </c>
      <c r="C171" s="1092"/>
      <c r="D171" s="1092"/>
      <c r="E171" s="1092"/>
      <c r="F171" s="1093"/>
    </row>
    <row r="172" spans="2:7" ht="12.75" customHeight="1">
      <c r="B172" s="1094" t="s">
        <v>434</v>
      </c>
      <c r="C172" s="1086" t="s">
        <v>465</v>
      </c>
      <c r="D172" s="1085" t="s">
        <v>453</v>
      </c>
      <c r="E172" s="1085"/>
      <c r="F172" s="1086" t="s">
        <v>466</v>
      </c>
    </row>
    <row r="173" spans="2:7">
      <c r="B173" s="1095"/>
      <c r="C173" s="1087"/>
      <c r="D173" s="629" t="s">
        <v>455</v>
      </c>
      <c r="E173" s="629" t="s">
        <v>454</v>
      </c>
      <c r="F173" s="1087"/>
    </row>
    <row r="174" spans="2:7">
      <c r="B174" s="630"/>
      <c r="C174" s="630"/>
      <c r="D174" s="631"/>
      <c r="E174" s="632"/>
      <c r="F174" s="633"/>
    </row>
    <row r="175" spans="2:7">
      <c r="B175" s="634" t="s">
        <v>435</v>
      </c>
      <c r="C175" s="630"/>
      <c r="D175" s="631"/>
      <c r="E175" s="632"/>
      <c r="F175" s="633"/>
    </row>
    <row r="176" spans="2:7">
      <c r="B176" s="635" t="s">
        <v>436</v>
      </c>
      <c r="C176" s="636">
        <v>18987859.819999997</v>
      </c>
      <c r="D176" s="637">
        <f>C176/C192</f>
        <v>0.60725507688524694</v>
      </c>
      <c r="E176" s="638"/>
      <c r="F176" s="639"/>
    </row>
    <row r="177" spans="2:7">
      <c r="B177" s="635" t="s">
        <v>437</v>
      </c>
      <c r="C177" s="636">
        <v>1209187.82</v>
      </c>
      <c r="D177" s="637">
        <f>C177/C192</f>
        <v>3.8671311541355398E-2</v>
      </c>
      <c r="E177" s="638"/>
      <c r="F177" s="639"/>
    </row>
    <row r="178" spans="2:7">
      <c r="B178" s="635" t="s">
        <v>438</v>
      </c>
      <c r="C178" s="636">
        <v>910471.3</v>
      </c>
      <c r="D178" s="637">
        <f>C178/C192</f>
        <v>2.9117990364609238E-2</v>
      </c>
      <c r="E178" s="638"/>
      <c r="F178" s="639"/>
    </row>
    <row r="179" spans="2:7">
      <c r="B179" s="653" t="s">
        <v>556</v>
      </c>
      <c r="C179" s="640">
        <v>21107518.939999998</v>
      </c>
      <c r="D179" s="641">
        <f>+C179/C192</f>
        <v>0.6750443787912116</v>
      </c>
      <c r="E179" s="642">
        <v>1</v>
      </c>
      <c r="F179" s="643">
        <f>+C179</f>
        <v>21107518.939999998</v>
      </c>
    </row>
    <row r="180" spans="2:7">
      <c r="B180" s="634" t="s">
        <v>439</v>
      </c>
      <c r="C180" s="636"/>
      <c r="D180" s="637"/>
      <c r="E180" s="644"/>
      <c r="F180" s="639"/>
    </row>
    <row r="181" spans="2:7">
      <c r="B181" s="634" t="s">
        <v>440</v>
      </c>
      <c r="C181" s="636">
        <v>562785.21</v>
      </c>
      <c r="D181" s="637">
        <f t="shared" ref="D181:D189" si="29">+C181/$C$179</f>
        <v>2.6662783608048253E-2</v>
      </c>
      <c r="E181" s="645">
        <f>+E141</f>
        <v>0.03</v>
      </c>
      <c r="F181" s="639">
        <f>+MIN(C181,E181*$C$179)</f>
        <v>562785.21</v>
      </c>
    </row>
    <row r="182" spans="2:7">
      <c r="B182" s="634" t="s">
        <v>441</v>
      </c>
      <c r="C182" s="636">
        <v>3006419.15</v>
      </c>
      <c r="D182" s="637">
        <f t="shared" si="29"/>
        <v>0.14243356400844714</v>
      </c>
      <c r="E182" s="645"/>
      <c r="F182" s="639">
        <f>119*15000</f>
        <v>1785000</v>
      </c>
    </row>
    <row r="183" spans="2:7">
      <c r="B183" s="634" t="s">
        <v>442</v>
      </c>
      <c r="C183" s="636">
        <v>3986559.86</v>
      </c>
      <c r="D183" s="637">
        <f t="shared" si="29"/>
        <v>0.18886918312531906</v>
      </c>
      <c r="E183" s="645"/>
      <c r="F183" s="639"/>
    </row>
    <row r="184" spans="2:7">
      <c r="B184" s="634" t="s">
        <v>443</v>
      </c>
      <c r="C184" s="636">
        <v>247768</v>
      </c>
      <c r="D184" s="637">
        <f t="shared" si="29"/>
        <v>1.173837629634741E-2</v>
      </c>
      <c r="E184" s="645"/>
      <c r="F184" s="618">
        <f>119*2500</f>
        <v>297500</v>
      </c>
    </row>
    <row r="185" spans="2:7">
      <c r="B185" s="634" t="s">
        <v>444</v>
      </c>
      <c r="C185" s="636">
        <v>608894.44999999995</v>
      </c>
      <c r="D185" s="637">
        <f t="shared" si="29"/>
        <v>2.884727720632807E-2</v>
      </c>
      <c r="E185" s="645">
        <f>+E150</f>
        <v>0.04</v>
      </c>
      <c r="F185" s="639">
        <f>+MIN(C185,E185*$C$179)</f>
        <v>608894.44999999995</v>
      </c>
    </row>
    <row r="186" spans="2:7">
      <c r="B186" s="634" t="s">
        <v>557</v>
      </c>
      <c r="C186" s="636">
        <v>683474.5</v>
      </c>
      <c r="D186" s="637">
        <f t="shared" si="29"/>
        <v>3.2380617634068555E-2</v>
      </c>
      <c r="E186" s="645">
        <f>+E152</f>
        <v>0.04</v>
      </c>
      <c r="F186" s="639">
        <f>+MIN(C186,E186*$C$179)</f>
        <v>683474.5</v>
      </c>
    </row>
    <row r="187" spans="2:7">
      <c r="B187" s="634" t="s">
        <v>446</v>
      </c>
      <c r="C187" s="636">
        <v>399622.74</v>
      </c>
      <c r="D187" s="637">
        <f t="shared" si="29"/>
        <v>1.8932719716417794E-2</v>
      </c>
      <c r="E187" s="645">
        <f>+E154</f>
        <v>0.03</v>
      </c>
      <c r="F187" s="639">
        <f>+MIN(C187,E187*$C$179)</f>
        <v>399622.74</v>
      </c>
    </row>
    <row r="188" spans="2:7">
      <c r="B188" s="634" t="s">
        <v>558</v>
      </c>
      <c r="C188" s="636">
        <v>300575.8</v>
      </c>
      <c r="D188" s="637">
        <f t="shared" si="29"/>
        <v>1.4240224104709487E-2</v>
      </c>
      <c r="E188" s="645"/>
      <c r="F188" s="639">
        <v>0</v>
      </c>
    </row>
    <row r="189" spans="2:7">
      <c r="B189" s="634" t="s">
        <v>447</v>
      </c>
      <c r="C189" s="636">
        <v>364724</v>
      </c>
      <c r="D189" s="637">
        <f t="shared" si="29"/>
        <v>1.7279340174312312E-2</v>
      </c>
      <c r="E189" s="645">
        <f>+E156</f>
        <v>0.06</v>
      </c>
      <c r="F189" s="639">
        <f>+MIN(C189,E189*$C$179)</f>
        <v>364724</v>
      </c>
    </row>
    <row r="190" spans="2:7">
      <c r="B190" s="634" t="s">
        <v>559</v>
      </c>
      <c r="C190" s="636"/>
      <c r="D190" s="637"/>
      <c r="E190" s="645"/>
      <c r="F190" s="639"/>
    </row>
    <row r="191" spans="2:7">
      <c r="B191" s="653" t="s">
        <v>555</v>
      </c>
      <c r="C191" s="646">
        <f>+SUM(C181:C190)</f>
        <v>10160823.710000001</v>
      </c>
      <c r="D191" s="647">
        <f>+C191/C192</f>
        <v>0.32495562120878835</v>
      </c>
      <c r="E191" s="648"/>
      <c r="F191" s="654">
        <f>+SUM(F181:F190)</f>
        <v>4702000.9000000004</v>
      </c>
    </row>
    <row r="192" spans="2:7">
      <c r="B192" s="649" t="s">
        <v>449</v>
      </c>
      <c r="C192" s="650">
        <f>+C191+C179</f>
        <v>31268342.649999999</v>
      </c>
      <c r="D192" s="651"/>
      <c r="E192" s="652"/>
      <c r="F192" s="654">
        <f>+F191+F179</f>
        <v>25809519.839999996</v>
      </c>
      <c r="G192" s="261"/>
    </row>
    <row r="193" spans="2:10">
      <c r="B193" s="29"/>
      <c r="C193" s="126"/>
      <c r="D193" s="127"/>
      <c r="E193" s="351"/>
      <c r="F193" s="126"/>
    </row>
    <row r="194" spans="2:10">
      <c r="B194" s="29" t="s">
        <v>749</v>
      </c>
      <c r="C194" s="126"/>
      <c r="D194" s="127"/>
      <c r="E194" s="351"/>
      <c r="F194" s="352">
        <f>+F192/C192</f>
        <v>0.82542014231125227</v>
      </c>
    </row>
    <row r="195" spans="2:10">
      <c r="B195" s="29"/>
      <c r="C195" s="126"/>
      <c r="D195" s="127"/>
      <c r="E195" s="351"/>
      <c r="F195" s="126"/>
    </row>
    <row r="196" spans="2:10">
      <c r="B196" s="264" t="s">
        <v>457</v>
      </c>
    </row>
    <row r="197" spans="2:10" ht="13.5" thickBot="1">
      <c r="B197" s="29"/>
      <c r="C197" s="126"/>
      <c r="D197" s="127"/>
      <c r="E197" s="351"/>
      <c r="F197" s="126"/>
    </row>
    <row r="198" spans="2:10">
      <c r="B198" s="337"/>
      <c r="C198" s="337"/>
      <c r="D198" s="337"/>
      <c r="E198" s="349"/>
      <c r="F198" s="325" t="s">
        <v>459</v>
      </c>
    </row>
    <row r="199" spans="2:10">
      <c r="B199" s="245" t="s">
        <v>456</v>
      </c>
      <c r="C199" s="298">
        <f>+('EVOLUCIÓN BIENES'!D102+'EVOLUCIÓN BIENES'!D103)*1000000</f>
        <v>89714678</v>
      </c>
      <c r="E199" s="326"/>
      <c r="F199" s="327"/>
      <c r="I199" s="328">
        <f>+I202-1</f>
        <v>-8.0843597092386088E-2</v>
      </c>
    </row>
    <row r="200" spans="2:10">
      <c r="B200" s="245" t="s">
        <v>562</v>
      </c>
      <c r="C200" s="261">
        <f>+C161+C192</f>
        <v>89790305.753282845</v>
      </c>
      <c r="D200" s="329">
        <f>+C200/C199</f>
        <v>1.0008429808250869</v>
      </c>
      <c r="E200" s="326" t="s">
        <v>458</v>
      </c>
      <c r="F200" s="330">
        <f>+F161-C161</f>
        <v>-13279913.300322853</v>
      </c>
      <c r="I200" s="328">
        <f>+H210/C210-1</f>
        <v>-2.5290642713356237E-2</v>
      </c>
    </row>
    <row r="201" spans="2:10" ht="13.5" thickBot="1">
      <c r="C201" s="261"/>
      <c r="E201" s="331">
        <v>2008</v>
      </c>
      <c r="F201" s="330">
        <f>+F192-C192</f>
        <v>-5458822.8100000024</v>
      </c>
    </row>
    <row r="202" spans="2:10" ht="13.5" thickBot="1">
      <c r="E202" s="332" t="s">
        <v>85</v>
      </c>
      <c r="F202" s="333">
        <f>+F201+F200</f>
        <v>-18738736.110322855</v>
      </c>
      <c r="H202" s="334" t="s">
        <v>461</v>
      </c>
      <c r="I202" s="335">
        <f>+H211/C211</f>
        <v>0.91915640290761391</v>
      </c>
    </row>
    <row r="205" spans="2:10">
      <c r="B205" s="1113" t="s">
        <v>49</v>
      </c>
      <c r="C205" s="1113"/>
      <c r="D205" s="1113"/>
      <c r="E205" s="1113"/>
    </row>
    <row r="206" spans="2:10">
      <c r="B206" s="1113" t="s">
        <v>50</v>
      </c>
      <c r="C206" s="1113"/>
      <c r="D206" s="1113"/>
      <c r="E206" s="1113"/>
      <c r="G206" s="1114" t="s">
        <v>49</v>
      </c>
      <c r="H206" s="1114"/>
      <c r="I206" s="1114"/>
      <c r="J206" s="1114"/>
    </row>
    <row r="207" spans="2:10">
      <c r="B207" s="1113" t="s">
        <v>342</v>
      </c>
      <c r="C207" s="1113"/>
      <c r="D207" s="1113"/>
      <c r="E207" s="1113"/>
      <c r="G207" s="1114" t="s">
        <v>760</v>
      </c>
      <c r="H207" s="1114"/>
      <c r="I207" s="1114"/>
      <c r="J207" s="1114"/>
    </row>
    <row r="208" spans="2:10" ht="13.5" thickBot="1">
      <c r="B208" s="1115" t="s">
        <v>761</v>
      </c>
      <c r="C208" s="1115"/>
      <c r="D208" s="1115"/>
      <c r="E208" s="1115"/>
      <c r="G208" s="1112" t="s">
        <v>342</v>
      </c>
      <c r="H208" s="1112"/>
      <c r="I208" s="1112"/>
      <c r="J208" s="1112"/>
    </row>
    <row r="209" spans="1:10" ht="18" customHeight="1" thickBot="1">
      <c r="B209" s="962" t="s">
        <v>166</v>
      </c>
      <c r="C209" s="963" t="s">
        <v>51</v>
      </c>
      <c r="D209" s="963" t="s">
        <v>167</v>
      </c>
      <c r="E209" s="963" t="s">
        <v>52</v>
      </c>
      <c r="G209" s="662" t="s">
        <v>166</v>
      </c>
      <c r="H209" s="663" t="s">
        <v>51</v>
      </c>
      <c r="I209" s="663" t="s">
        <v>167</v>
      </c>
      <c r="J209" s="663" t="s">
        <v>52</v>
      </c>
    </row>
    <row r="210" spans="1:10">
      <c r="B210" s="658" t="s">
        <v>14</v>
      </c>
      <c r="C210" s="659">
        <f>+'EVOLUCIÓN BIENES'!F82</f>
        <v>23629919</v>
      </c>
      <c r="D210" s="659">
        <f>+'EVOLUCIÓN BIENES'!G82</f>
        <v>11918937.09</v>
      </c>
      <c r="E210" s="659">
        <f>+C210-D210</f>
        <v>11710981.91</v>
      </c>
      <c r="G210" s="664" t="s">
        <v>14</v>
      </c>
      <c r="H210" s="665">
        <f>+C210+S8</f>
        <v>23032303.161225453</v>
      </c>
      <c r="I210" s="665">
        <f>+D210+T8</f>
        <v>11842651.710141398</v>
      </c>
      <c r="J210" s="665">
        <f>+H210-I210</f>
        <v>11189651.451084055</v>
      </c>
    </row>
    <row r="211" spans="1:10" ht="13.5" thickBot="1">
      <c r="B211" s="660" t="s">
        <v>18</v>
      </c>
      <c r="C211" s="660">
        <f>+'EVOLUCIÓN BIENES'!F83</f>
        <v>298205409</v>
      </c>
      <c r="D211" s="660">
        <f>+'EVOLUCIÓN BIENES'!G83</f>
        <v>101152982.01999988</v>
      </c>
      <c r="E211" s="660">
        <f>+C211-D211</f>
        <v>197052426.98000014</v>
      </c>
      <c r="G211" s="665" t="s">
        <v>18</v>
      </c>
      <c r="H211" s="665">
        <f>+C211+S9+F202</f>
        <v>274097411.06403381</v>
      </c>
      <c r="I211" s="665">
        <f>+D211*I202</f>
        <v>92975411.096881628</v>
      </c>
      <c r="J211" s="665">
        <f>+H211-I211</f>
        <v>181121999.96715218</v>
      </c>
    </row>
    <row r="212" spans="1:10" ht="15.75" customHeight="1" thickBot="1">
      <c r="A212" s="309"/>
      <c r="B212" s="661" t="s">
        <v>168</v>
      </c>
      <c r="C212" s="661">
        <f>SUM(C210:C211)</f>
        <v>321835328</v>
      </c>
      <c r="D212" s="661">
        <f>SUM(D210:D211)</f>
        <v>113071919.10999988</v>
      </c>
      <c r="E212" s="661">
        <f>SUM(E210:E211)</f>
        <v>208763408.89000013</v>
      </c>
      <c r="F212" s="309"/>
      <c r="G212" s="666" t="s">
        <v>168</v>
      </c>
      <c r="H212" s="666">
        <f>SUM(H210:H211)</f>
        <v>297129714.22525924</v>
      </c>
      <c r="I212" s="666">
        <f>SUM(I210:I211)</f>
        <v>104818062.80702302</v>
      </c>
      <c r="J212" s="666">
        <f>SUM(J210:J211)</f>
        <v>192311651.41823623</v>
      </c>
    </row>
    <row r="213" spans="1:10">
      <c r="B213" s="658" t="s">
        <v>54</v>
      </c>
      <c r="C213" s="659">
        <f>+'EVOLUCIÓN BIENES'!F85-1</f>
        <v>4770994</v>
      </c>
      <c r="D213" s="659">
        <f>+'EVOLUCIÓN BIENES'!G85</f>
        <v>2336926.2800000003</v>
      </c>
      <c r="E213" s="659">
        <f>+C213-D213</f>
        <v>2434067.7199999997</v>
      </c>
      <c r="G213" s="664" t="s">
        <v>54</v>
      </c>
      <c r="H213" s="665">
        <f>+C213</f>
        <v>4770994</v>
      </c>
      <c r="I213" s="665">
        <f>+D213</f>
        <v>2336926.2800000003</v>
      </c>
      <c r="J213" s="665">
        <f>+H213-I213</f>
        <v>2434067.7199999997</v>
      </c>
    </row>
    <row r="214" spans="1:10">
      <c r="B214" s="658" t="s">
        <v>317</v>
      </c>
      <c r="C214" s="659">
        <f>+'EVOLUCIÓN BIENES'!F89+3</f>
        <v>29278383</v>
      </c>
      <c r="D214" s="659">
        <f>+'EVOLUCIÓN BIENES'!G89</f>
        <v>21015850.730000015</v>
      </c>
      <c r="E214" s="659">
        <f>+C214-D214</f>
        <v>8262532.2699999847</v>
      </c>
      <c r="G214" s="664" t="s">
        <v>317</v>
      </c>
      <c r="H214" s="665">
        <f>+C214</f>
        <v>29278383</v>
      </c>
      <c r="I214" s="665">
        <f>+H214*I228</f>
        <v>21015850.730000015</v>
      </c>
      <c r="J214" s="665">
        <f>+H214-I214</f>
        <v>8262532.2699999847</v>
      </c>
    </row>
    <row r="215" spans="1:10">
      <c r="B215" s="658" t="s">
        <v>53</v>
      </c>
      <c r="C215" s="659">
        <f>+'EVOLUCIÓN BIENES'!F87-1</f>
        <v>7307322</v>
      </c>
      <c r="D215" s="659">
        <f>+'EVOLUCIÓN BIENES'!G87</f>
        <v>6518846.5699999994</v>
      </c>
      <c r="E215" s="659">
        <f>+C215-D215</f>
        <v>788475.43000000063</v>
      </c>
      <c r="G215" s="664" t="s">
        <v>53</v>
      </c>
      <c r="H215" s="665">
        <f>+C215</f>
        <v>7307322</v>
      </c>
      <c r="I215" s="665">
        <f>+D215</f>
        <v>6518846.5699999994</v>
      </c>
      <c r="J215" s="665">
        <f>+H215-I215</f>
        <v>788475.43000000063</v>
      </c>
    </row>
    <row r="216" spans="1:10" ht="13.5" thickBot="1">
      <c r="B216" s="660" t="s">
        <v>311</v>
      </c>
      <c r="C216" s="660">
        <f>+'EVOLUCIÓN BIENES'!F88</f>
        <v>6366085</v>
      </c>
      <c r="D216" s="660">
        <f>+'EVOLUCIÓN BIENES'!G88</f>
        <v>4089824</v>
      </c>
      <c r="E216" s="660">
        <f>+C216-D216</f>
        <v>2276261</v>
      </c>
      <c r="G216" s="665" t="s">
        <v>750</v>
      </c>
      <c r="H216" s="665">
        <f>+C216</f>
        <v>6366085</v>
      </c>
      <c r="I216" s="665">
        <f>+D216</f>
        <v>4089824</v>
      </c>
      <c r="J216" s="665">
        <f>+H216-I216</f>
        <v>2276261</v>
      </c>
    </row>
    <row r="217" spans="1:10" ht="13.5" thickBot="1">
      <c r="B217" s="661" t="s">
        <v>170</v>
      </c>
      <c r="C217" s="661">
        <f>SUM(C212:C216)</f>
        <v>369558112</v>
      </c>
      <c r="D217" s="661">
        <f>SUM(D212:D216)</f>
        <v>147033366.68999988</v>
      </c>
      <c r="E217" s="661">
        <f>SUM(E212:E216)</f>
        <v>222524745.31000012</v>
      </c>
      <c r="G217" s="666" t="s">
        <v>170</v>
      </c>
      <c r="H217" s="666">
        <f>SUM(H212:H216)</f>
        <v>344852498.22525924</v>
      </c>
      <c r="I217" s="666">
        <f>SUM(I212:I216)</f>
        <v>138779510.38702303</v>
      </c>
      <c r="J217" s="666">
        <f>SUM(J212:J216)</f>
        <v>206072987.83823621</v>
      </c>
    </row>
    <row r="218" spans="1:10">
      <c r="B218" s="665"/>
      <c r="C218" s="665"/>
      <c r="D218" s="665"/>
      <c r="E218" s="665"/>
      <c r="G218" s="667"/>
      <c r="H218" s="667"/>
      <c r="I218" s="667"/>
      <c r="J218" s="667"/>
    </row>
    <row r="219" spans="1:10" ht="13.5" thickBot="1">
      <c r="B219" s="961" t="s">
        <v>550</v>
      </c>
      <c r="C219" s="961">
        <f>+C214+C212</f>
        <v>351113711</v>
      </c>
      <c r="D219" s="961">
        <f>+D214+D212</f>
        <v>134087769.8399999</v>
      </c>
      <c r="E219" s="961">
        <f>+E214+E212</f>
        <v>217025941.16000012</v>
      </c>
      <c r="G219" s="661" t="s">
        <v>550</v>
      </c>
      <c r="H219" s="661">
        <f>+H214+H212</f>
        <v>326408097.22525924</v>
      </c>
      <c r="I219" s="661">
        <f>+I214+I212</f>
        <v>125833913.53702304</v>
      </c>
      <c r="J219" s="661">
        <f>+J214+J212</f>
        <v>200574183.68823621</v>
      </c>
    </row>
    <row r="221" spans="1:10">
      <c r="H221" s="932"/>
      <c r="J221" s="261"/>
    </row>
    <row r="222" spans="1:10">
      <c r="H222" s="328"/>
    </row>
    <row r="226" spans="7:9" hidden="1">
      <c r="G226" s="245" t="s">
        <v>462</v>
      </c>
      <c r="H226" s="261">
        <f>+H212</f>
        <v>297129714.22525924</v>
      </c>
    </row>
    <row r="227" spans="7:9" hidden="1">
      <c r="G227" s="245" t="s">
        <v>463</v>
      </c>
      <c r="H227" s="336">
        <v>0.1</v>
      </c>
    </row>
    <row r="228" spans="7:9" hidden="1">
      <c r="G228" s="245" t="s">
        <v>464</v>
      </c>
      <c r="I228" s="318">
        <f>+D214/C214</f>
        <v>0.71779410529604781</v>
      </c>
    </row>
  </sheetData>
  <sheetProtection password="CC27" sheet="1" formatCells="0" formatColumns="0" formatRows="0" insertColumns="0" insertRows="0" insertHyperlinks="0" deleteColumns="0" deleteRows="0" sort="0" autoFilter="0" pivotTables="0"/>
  <mergeCells count="29">
    <mergeCell ref="G208:J208"/>
    <mergeCell ref="B205:E205"/>
    <mergeCell ref="B206:E206"/>
    <mergeCell ref="B207:E207"/>
    <mergeCell ref="G206:J206"/>
    <mergeCell ref="G207:J207"/>
    <mergeCell ref="B208:E208"/>
    <mergeCell ref="S6:T6"/>
    <mergeCell ref="B129:F129"/>
    <mergeCell ref="B130:F130"/>
    <mergeCell ref="B131:F131"/>
    <mergeCell ref="F6:K6"/>
    <mergeCell ref="M6:O6"/>
    <mergeCell ref="L3:O3"/>
    <mergeCell ref="L4:O4"/>
    <mergeCell ref="L5:O5"/>
    <mergeCell ref="D138:E138"/>
    <mergeCell ref="D132:E132"/>
    <mergeCell ref="G4:J4"/>
    <mergeCell ref="B3:E3"/>
    <mergeCell ref="B4:E4"/>
    <mergeCell ref="B5:E5"/>
    <mergeCell ref="D172:E172"/>
    <mergeCell ref="C172:C173"/>
    <mergeCell ref="F172:F173"/>
    <mergeCell ref="B169:F169"/>
    <mergeCell ref="B171:F171"/>
    <mergeCell ref="B170:F170"/>
    <mergeCell ref="B172:B173"/>
  </mergeCells>
  <phoneticPr fontId="0" type="noConversion"/>
  <printOptions horizontalCentered="1" verticalCentered="1" gridLines="1"/>
  <pageMargins left="0.75" right="0.75" top="1" bottom="1" header="0" footer="0"/>
  <pageSetup scale="95" orientation="landscape" r:id="rId1"/>
  <headerFooter alignWithMargins="0">
    <oddHeader>&amp;CART.177</oddHeader>
    <oddFooter>&amp;C IMP ETESA&amp;R&amp;P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L120"/>
  <sheetViews>
    <sheetView topLeftCell="B63" zoomScale="75" workbookViewId="0">
      <selection activeCell="F88" sqref="F88"/>
    </sheetView>
  </sheetViews>
  <sheetFormatPr baseColWidth="10" defaultRowHeight="12.75"/>
  <cols>
    <col min="1" max="1" width="6.85546875" customWidth="1"/>
    <col min="2" max="2" width="23.5703125" customWidth="1"/>
    <col min="3" max="3" width="13.7109375" bestFit="1" customWidth="1"/>
    <col min="4" max="4" width="19" customWidth="1"/>
    <col min="5" max="5" width="16.28515625" customWidth="1"/>
    <col min="6" max="6" width="17.5703125" customWidth="1"/>
    <col min="7" max="7" width="19.140625" customWidth="1"/>
    <col min="8" max="8" width="17.85546875" customWidth="1"/>
  </cols>
  <sheetData>
    <row r="1" spans="2:5">
      <c r="C1" s="80"/>
      <c r="D1" s="18"/>
      <c r="E1" s="80"/>
    </row>
    <row r="2" spans="2:5">
      <c r="B2" s="1116" t="s">
        <v>49</v>
      </c>
      <c r="C2" s="1116"/>
      <c r="D2" s="1116"/>
      <c r="E2" s="1116"/>
    </row>
    <row r="3" spans="2:5">
      <c r="B3" s="1116" t="s">
        <v>50</v>
      </c>
      <c r="C3" s="1116"/>
      <c r="D3" s="1116"/>
      <c r="E3" s="1116"/>
    </row>
    <row r="4" spans="2:5">
      <c r="B4" s="1116" t="s">
        <v>310</v>
      </c>
      <c r="C4" s="1116"/>
      <c r="D4" s="1116"/>
      <c r="E4" s="1116"/>
    </row>
    <row r="5" spans="2:5">
      <c r="B5" s="38"/>
      <c r="C5" s="38"/>
      <c r="D5" s="38"/>
      <c r="E5" s="38"/>
    </row>
    <row r="6" spans="2:5">
      <c r="B6" s="76" t="s">
        <v>166</v>
      </c>
      <c r="C6" s="43" t="s">
        <v>51</v>
      </c>
      <c r="D6" s="43" t="s">
        <v>167</v>
      </c>
      <c r="E6" s="43" t="s">
        <v>52</v>
      </c>
    </row>
    <row r="7" spans="2:5">
      <c r="B7" t="s">
        <v>14</v>
      </c>
      <c r="C7" s="18">
        <v>29320498</v>
      </c>
      <c r="D7" s="18">
        <v>11730827</v>
      </c>
      <c r="E7" s="18">
        <f>+C7-D7</f>
        <v>17589671</v>
      </c>
    </row>
    <row r="8" spans="2:5" ht="13.5" thickBot="1">
      <c r="B8" t="s">
        <v>18</v>
      </c>
      <c r="C8" s="39">
        <v>206512417</v>
      </c>
      <c r="D8" s="39">
        <v>72128833</v>
      </c>
      <c r="E8" s="39">
        <f>+C8-D8</f>
        <v>134383584</v>
      </c>
    </row>
    <row r="9" spans="2:5">
      <c r="B9" s="12" t="s">
        <v>168</v>
      </c>
      <c r="C9" s="25">
        <f>SUM(C7:C8)</f>
        <v>235832915</v>
      </c>
      <c r="D9" s="25">
        <f>SUM(D7:D8)</f>
        <v>83859660</v>
      </c>
      <c r="E9" s="25">
        <f>SUM(E7:E8)</f>
        <v>151973255</v>
      </c>
    </row>
    <row r="10" spans="2:5">
      <c r="B10" t="s">
        <v>54</v>
      </c>
      <c r="C10" s="18">
        <v>3289000.82</v>
      </c>
      <c r="D10" s="18">
        <v>1468055</v>
      </c>
      <c r="E10" s="18">
        <f>+C10-D10</f>
        <v>1820945.8199999998</v>
      </c>
    </row>
    <row r="11" spans="2:5">
      <c r="B11" t="s">
        <v>83</v>
      </c>
      <c r="C11" s="18">
        <f>27258618-1568647</f>
        <v>25689971</v>
      </c>
      <c r="D11" s="18">
        <f>15400488-0</f>
        <v>15400488</v>
      </c>
      <c r="E11" s="18">
        <f>+C11-D11</f>
        <v>10289483</v>
      </c>
    </row>
    <row r="12" spans="2:5">
      <c r="B12" t="s">
        <v>53</v>
      </c>
      <c r="C12" s="18">
        <v>6355741.6799999997</v>
      </c>
      <c r="D12" s="18">
        <v>299308</v>
      </c>
      <c r="E12" s="18">
        <f>+C12-D12</f>
        <v>6056433.6799999997</v>
      </c>
    </row>
    <row r="13" spans="2:5" ht="13.5" thickBot="1">
      <c r="B13" t="s">
        <v>311</v>
      </c>
      <c r="C13" s="39">
        <f>6554658+1568647</f>
        <v>8123305</v>
      </c>
      <c r="D13" s="39">
        <f>2468129+0</f>
        <v>2468129</v>
      </c>
      <c r="E13" s="39">
        <f>+C13-D13</f>
        <v>5655176</v>
      </c>
    </row>
    <row r="14" spans="2:5" ht="13.5" thickBot="1">
      <c r="B14" s="1" t="s">
        <v>170</v>
      </c>
      <c r="C14" s="20">
        <f>SUM(C9:C13)</f>
        <v>279290933.5</v>
      </c>
      <c r="D14" s="20">
        <f>SUM(D9:D13)</f>
        <v>103495640</v>
      </c>
      <c r="E14" s="20">
        <f>SUM(E9:E13)</f>
        <v>175795293.5</v>
      </c>
    </row>
    <row r="15" spans="2:5" ht="13.5" thickTop="1"/>
    <row r="23" spans="2:9">
      <c r="B23" s="1116" t="s">
        <v>49</v>
      </c>
      <c r="C23" s="1116"/>
      <c r="D23" s="1116"/>
      <c r="E23" s="1116"/>
    </row>
    <row r="24" spans="2:9">
      <c r="B24" s="1116" t="s">
        <v>50</v>
      </c>
      <c r="C24" s="1116"/>
      <c r="D24" s="1116"/>
      <c r="E24" s="1116"/>
    </row>
    <row r="25" spans="2:9">
      <c r="B25" s="1116" t="s">
        <v>312</v>
      </c>
      <c r="C25" s="1116"/>
      <c r="D25" s="1116"/>
      <c r="E25" s="1116"/>
    </row>
    <row r="26" spans="2:9">
      <c r="B26" s="38"/>
      <c r="C26" s="38"/>
      <c r="D26" s="38"/>
      <c r="E26" s="38"/>
    </row>
    <row r="27" spans="2:9" ht="25.5">
      <c r="B27" s="76" t="s">
        <v>166</v>
      </c>
      <c r="C27" s="43" t="s">
        <v>313</v>
      </c>
      <c r="D27" s="43" t="s">
        <v>314</v>
      </c>
      <c r="E27" s="43" t="s">
        <v>315</v>
      </c>
      <c r="F27" s="43" t="s">
        <v>316</v>
      </c>
      <c r="G27" s="43" t="s">
        <v>167</v>
      </c>
      <c r="H27" s="43" t="s">
        <v>52</v>
      </c>
    </row>
    <row r="28" spans="2:9">
      <c r="B28" t="s">
        <v>14</v>
      </c>
      <c r="C28" s="18">
        <v>29320498</v>
      </c>
      <c r="D28" s="18">
        <v>282925</v>
      </c>
      <c r="E28" s="18"/>
      <c r="F28" s="18">
        <f>+C28+D28-E28</f>
        <v>29603423</v>
      </c>
      <c r="G28" s="18">
        <v>12214202</v>
      </c>
      <c r="H28" s="18">
        <f>+F28-G28</f>
        <v>17389221</v>
      </c>
    </row>
    <row r="29" spans="2:9" ht="13.5" thickBot="1">
      <c r="B29" t="s">
        <v>18</v>
      </c>
      <c r="C29" s="39">
        <v>206431291</v>
      </c>
      <c r="D29" s="39">
        <v>205062</v>
      </c>
      <c r="E29" s="39">
        <f>2409252+270995</f>
        <v>2680247</v>
      </c>
      <c r="F29" s="39">
        <f>+C29+D29-E29</f>
        <v>203956106</v>
      </c>
      <c r="G29" s="39">
        <v>74993521</v>
      </c>
      <c r="H29" s="39">
        <f>+F29-G29</f>
        <v>128962585</v>
      </c>
      <c r="I29" s="18"/>
    </row>
    <row r="30" spans="2:9">
      <c r="B30" s="12" t="s">
        <v>168</v>
      </c>
      <c r="C30" s="25">
        <f t="shared" ref="C30:H30" si="0">SUM(C28:C29)</f>
        <v>235751789</v>
      </c>
      <c r="D30" s="25">
        <f t="shared" si="0"/>
        <v>487987</v>
      </c>
      <c r="E30" s="25">
        <f t="shared" si="0"/>
        <v>2680247</v>
      </c>
      <c r="F30" s="25">
        <f t="shared" si="0"/>
        <v>233559529</v>
      </c>
      <c r="G30" s="25">
        <f t="shared" si="0"/>
        <v>87207723</v>
      </c>
      <c r="H30" s="25">
        <f t="shared" si="0"/>
        <v>146351806</v>
      </c>
      <c r="I30" s="18"/>
    </row>
    <row r="31" spans="2:9">
      <c r="B31" t="s">
        <v>54</v>
      </c>
      <c r="C31" s="18">
        <v>3312010</v>
      </c>
      <c r="D31" s="18">
        <v>18248</v>
      </c>
      <c r="E31" s="18">
        <f>3340+4603</f>
        <v>7943</v>
      </c>
      <c r="F31" s="18">
        <f>+C31+D31-E31</f>
        <v>3322315</v>
      </c>
      <c r="G31" s="18">
        <v>1951501</v>
      </c>
      <c r="H31" s="18">
        <f>+F31-G31</f>
        <v>1370814</v>
      </c>
    </row>
    <row r="32" spans="2:9">
      <c r="B32" t="s">
        <v>83</v>
      </c>
      <c r="C32" s="18"/>
      <c r="D32" s="18"/>
      <c r="E32" s="18"/>
      <c r="F32" s="18"/>
      <c r="G32" s="18"/>
      <c r="H32" s="18">
        <f>+C32-G32</f>
        <v>0</v>
      </c>
    </row>
    <row r="33" spans="2:8">
      <c r="B33" t="s">
        <v>53</v>
      </c>
      <c r="C33" s="18"/>
      <c r="D33" s="18"/>
      <c r="E33" s="18"/>
      <c r="F33" s="18"/>
      <c r="G33" s="18"/>
      <c r="H33" s="18">
        <f>+C33-G33</f>
        <v>0</v>
      </c>
    </row>
    <row r="34" spans="2:8">
      <c r="B34" t="s">
        <v>311</v>
      </c>
      <c r="C34" s="18"/>
      <c r="D34" s="18"/>
      <c r="E34" s="18"/>
      <c r="F34" s="18"/>
      <c r="G34" s="18"/>
      <c r="H34" s="18">
        <f>+C34-G34</f>
        <v>0</v>
      </c>
    </row>
    <row r="35" spans="2:8" ht="13.5" thickBot="1">
      <c r="B35" t="s">
        <v>317</v>
      </c>
      <c r="C35" s="18">
        <v>40287162</v>
      </c>
      <c r="D35" s="18">
        <v>877086</v>
      </c>
      <c r="E35" s="18">
        <f>150181-35</f>
        <v>150146</v>
      </c>
      <c r="F35" s="18">
        <f>+C35+D35-E35</f>
        <v>41014102</v>
      </c>
      <c r="G35" s="18">
        <v>22803821</v>
      </c>
      <c r="H35" s="18">
        <f>+F35-G35</f>
        <v>18210281</v>
      </c>
    </row>
    <row r="36" spans="2:8" ht="13.5" thickBot="1">
      <c r="B36" s="1" t="s">
        <v>170</v>
      </c>
      <c r="C36" s="81">
        <f t="shared" ref="C36:H36" si="1">SUM(C30:C35)</f>
        <v>279350961</v>
      </c>
      <c r="D36" s="81">
        <f t="shared" si="1"/>
        <v>1383321</v>
      </c>
      <c r="E36" s="81">
        <f t="shared" si="1"/>
        <v>2838336</v>
      </c>
      <c r="F36" s="81">
        <f t="shared" si="1"/>
        <v>277895946</v>
      </c>
      <c r="G36" s="81">
        <f t="shared" si="1"/>
        <v>111963045</v>
      </c>
      <c r="H36" s="81">
        <f t="shared" si="1"/>
        <v>165932901</v>
      </c>
    </row>
    <row r="37" spans="2:8" ht="13.5" thickTop="1">
      <c r="D37" s="18"/>
      <c r="F37" s="43"/>
    </row>
    <row r="38" spans="2:8">
      <c r="D38" s="18"/>
      <c r="F38" s="43"/>
    </row>
    <row r="39" spans="2:8">
      <c r="D39" s="18"/>
      <c r="F39" s="43"/>
    </row>
    <row r="40" spans="2:8">
      <c r="D40" s="18"/>
      <c r="F40" s="43"/>
    </row>
    <row r="41" spans="2:8">
      <c r="D41" s="18"/>
      <c r="F41" s="43"/>
    </row>
    <row r="42" spans="2:8">
      <c r="D42" s="18"/>
      <c r="F42" s="43"/>
    </row>
    <row r="43" spans="2:8">
      <c r="D43" s="18"/>
      <c r="F43" s="43"/>
    </row>
    <row r="44" spans="2:8">
      <c r="D44" s="18"/>
      <c r="F44" s="43"/>
    </row>
    <row r="45" spans="2:8">
      <c r="D45" s="18"/>
      <c r="F45" s="43"/>
    </row>
    <row r="46" spans="2:8">
      <c r="D46" s="18"/>
      <c r="F46" s="43"/>
    </row>
    <row r="47" spans="2:8">
      <c r="B47" s="1116" t="s">
        <v>49</v>
      </c>
      <c r="C47" s="1116"/>
      <c r="D47" s="1116"/>
      <c r="E47" s="1116"/>
    </row>
    <row r="48" spans="2:8">
      <c r="B48" s="1116" t="s">
        <v>50</v>
      </c>
      <c r="C48" s="1116"/>
      <c r="D48" s="1116"/>
      <c r="E48" s="1116"/>
    </row>
    <row r="49" spans="2:8">
      <c r="B49" s="1116" t="s">
        <v>318</v>
      </c>
      <c r="C49" s="1116"/>
      <c r="D49" s="1116"/>
      <c r="E49" s="1116"/>
    </row>
    <row r="50" spans="2:8">
      <c r="B50" s="38"/>
      <c r="C50" s="38"/>
      <c r="D50" s="38"/>
      <c r="E50" s="38"/>
    </row>
    <row r="51" spans="2:8" ht="25.5">
      <c r="B51" s="76" t="s">
        <v>166</v>
      </c>
      <c r="C51" s="43" t="s">
        <v>313</v>
      </c>
      <c r="D51" s="43" t="s">
        <v>314</v>
      </c>
      <c r="E51" s="43" t="s">
        <v>315</v>
      </c>
      <c r="F51" s="43" t="s">
        <v>316</v>
      </c>
      <c r="G51" s="43" t="s">
        <v>167</v>
      </c>
      <c r="H51" s="43" t="s">
        <v>52</v>
      </c>
    </row>
    <row r="52" spans="2:8">
      <c r="B52" t="s">
        <v>14</v>
      </c>
      <c r="C52" s="18">
        <v>29308626</v>
      </c>
      <c r="D52" s="18">
        <v>91500</v>
      </c>
      <c r="E52" s="18"/>
      <c r="F52" s="18">
        <f>+C52+D52-E52</f>
        <v>29400126</v>
      </c>
      <c r="G52" s="18">
        <v>13094512</v>
      </c>
      <c r="H52" s="18">
        <f>+F52-G52</f>
        <v>16305614</v>
      </c>
    </row>
    <row r="53" spans="2:8" ht="13.5" thickBot="1">
      <c r="B53" t="s">
        <v>18</v>
      </c>
      <c r="C53" s="39">
        <v>203906011</v>
      </c>
      <c r="D53" s="82">
        <v>57517523</v>
      </c>
      <c r="E53" s="39">
        <v>-188436</v>
      </c>
      <c r="F53" s="39">
        <f>+C53+D53-E53</f>
        <v>261611970</v>
      </c>
      <c r="G53" s="39">
        <v>82402295</v>
      </c>
      <c r="H53" s="39">
        <f>+F53-G53</f>
        <v>179209675</v>
      </c>
    </row>
    <row r="54" spans="2:8">
      <c r="B54" s="12" t="s">
        <v>168</v>
      </c>
      <c r="C54" s="25">
        <f t="shared" ref="C54:H54" si="2">SUM(C52:C53)</f>
        <v>233214637</v>
      </c>
      <c r="D54" s="25">
        <f t="shared" si="2"/>
        <v>57609023</v>
      </c>
      <c r="E54" s="25">
        <f t="shared" si="2"/>
        <v>-188436</v>
      </c>
      <c r="F54" s="25">
        <f t="shared" si="2"/>
        <v>291012096</v>
      </c>
      <c r="G54" s="25">
        <f t="shared" si="2"/>
        <v>95496807</v>
      </c>
      <c r="H54" s="25">
        <f t="shared" si="2"/>
        <v>195515289</v>
      </c>
    </row>
    <row r="55" spans="2:8">
      <c r="B55" t="s">
        <v>54</v>
      </c>
      <c r="C55" s="18">
        <v>3358412</v>
      </c>
      <c r="D55" s="18">
        <v>1761</v>
      </c>
      <c r="E55" s="18">
        <f>30369+953</f>
        <v>31322</v>
      </c>
      <c r="F55" s="18">
        <f>+C55+D55-E55</f>
        <v>3328851</v>
      </c>
      <c r="G55" s="18">
        <v>2047986</v>
      </c>
      <c r="H55" s="18">
        <f>+F55-G55</f>
        <v>1280865</v>
      </c>
    </row>
    <row r="56" spans="2:8">
      <c r="B56" t="s">
        <v>83</v>
      </c>
      <c r="C56" s="18"/>
      <c r="D56" s="18"/>
      <c r="E56" s="18"/>
      <c r="F56" s="18"/>
      <c r="G56" s="18"/>
      <c r="H56" s="18">
        <f>+C56-G56</f>
        <v>0</v>
      </c>
    </row>
    <row r="57" spans="2:8">
      <c r="B57" t="s">
        <v>53</v>
      </c>
      <c r="C57" s="18"/>
      <c r="D57" s="18"/>
      <c r="E57" s="18"/>
      <c r="F57" s="18"/>
      <c r="G57" s="18"/>
      <c r="H57" s="18">
        <f>+C57-G57</f>
        <v>0</v>
      </c>
    </row>
    <row r="58" spans="2:8">
      <c r="B58" t="s">
        <v>311</v>
      </c>
      <c r="C58" s="18"/>
      <c r="D58" s="18"/>
      <c r="E58" s="18"/>
      <c r="F58" s="18"/>
      <c r="G58" s="18"/>
      <c r="H58" s="18">
        <f>+C58-G58</f>
        <v>0</v>
      </c>
    </row>
    <row r="59" spans="2:8" ht="13.5" thickBot="1">
      <c r="B59" t="s">
        <v>317</v>
      </c>
      <c r="C59" s="18">
        <v>41044165</v>
      </c>
      <c r="D59" s="18">
        <v>503207</v>
      </c>
      <c r="E59" s="18">
        <f>226374+16427</f>
        <v>242801</v>
      </c>
      <c r="F59" s="18">
        <f>+C59+D59-E59</f>
        <v>41304571</v>
      </c>
      <c r="G59" s="18">
        <v>26000169</v>
      </c>
      <c r="H59" s="18">
        <f>+F59-G59</f>
        <v>15304402</v>
      </c>
    </row>
    <row r="60" spans="2:8" ht="13.5" thickBot="1">
      <c r="B60" s="1" t="s">
        <v>170</v>
      </c>
      <c r="C60" s="81">
        <f t="shared" ref="C60:H60" si="3">SUM(C54:C59)</f>
        <v>277617214</v>
      </c>
      <c r="D60" s="81">
        <f t="shared" si="3"/>
        <v>58113991</v>
      </c>
      <c r="E60" s="81">
        <f t="shared" si="3"/>
        <v>85687</v>
      </c>
      <c r="F60" s="81">
        <f t="shared" si="3"/>
        <v>335645518</v>
      </c>
      <c r="G60" s="81">
        <f t="shared" si="3"/>
        <v>123544962</v>
      </c>
      <c r="H60" s="81">
        <f t="shared" si="3"/>
        <v>212100556</v>
      </c>
    </row>
    <row r="61" spans="2:8" ht="13.5" thickTop="1">
      <c r="D61" s="18"/>
    </row>
    <row r="62" spans="2:8">
      <c r="B62" s="1116" t="s">
        <v>49</v>
      </c>
      <c r="C62" s="1116"/>
      <c r="D62" s="1116"/>
      <c r="E62" s="1116"/>
    </row>
    <row r="63" spans="2:8">
      <c r="B63" s="1116" t="s">
        <v>50</v>
      </c>
      <c r="C63" s="1116"/>
      <c r="D63" s="1116"/>
      <c r="E63" s="1116"/>
    </row>
    <row r="64" spans="2:8">
      <c r="B64" s="1116" t="s">
        <v>273</v>
      </c>
      <c r="C64" s="1116"/>
      <c r="D64" s="1116"/>
      <c r="E64" s="1116"/>
    </row>
    <row r="65" spans="2:12">
      <c r="B65" s="38"/>
      <c r="C65" s="38"/>
      <c r="D65" s="38"/>
      <c r="E65" s="38"/>
    </row>
    <row r="66" spans="2:12" ht="25.5">
      <c r="B66" s="76" t="s">
        <v>166</v>
      </c>
      <c r="C66" s="43" t="s">
        <v>313</v>
      </c>
      <c r="D66" s="43" t="s">
        <v>314</v>
      </c>
      <c r="E66" s="43" t="s">
        <v>315</v>
      </c>
      <c r="F66" s="43" t="s">
        <v>316</v>
      </c>
      <c r="G66" s="43" t="s">
        <v>167</v>
      </c>
      <c r="H66" s="43" t="s">
        <v>52</v>
      </c>
    </row>
    <row r="67" spans="2:12">
      <c r="B67" t="s">
        <v>14</v>
      </c>
      <c r="C67" s="18">
        <v>29400126</v>
      </c>
      <c r="D67" s="18">
        <v>15527</v>
      </c>
      <c r="E67" s="18"/>
      <c r="F67" s="18">
        <f>+C67+D67-E67</f>
        <v>29415653</v>
      </c>
      <c r="G67" s="18">
        <v>14059032</v>
      </c>
      <c r="H67" s="18">
        <f>+F67-G67</f>
        <v>15356621</v>
      </c>
      <c r="J67" s="18"/>
    </row>
    <row r="68" spans="2:12" ht="13.5" thickBot="1">
      <c r="B68" t="s">
        <v>18</v>
      </c>
      <c r="C68" s="39">
        <v>261468751</v>
      </c>
      <c r="D68" s="39">
        <v>486359</v>
      </c>
      <c r="E68" s="39">
        <v>683811</v>
      </c>
      <c r="F68" s="39">
        <f>+C68+D68-E68</f>
        <v>261271299</v>
      </c>
      <c r="G68" s="39">
        <v>89890129</v>
      </c>
      <c r="H68" s="39">
        <f>+F68-G68</f>
        <v>171381170</v>
      </c>
      <c r="J68" s="18"/>
      <c r="L68" s="83"/>
    </row>
    <row r="69" spans="2:12">
      <c r="B69" s="12" t="s">
        <v>168</v>
      </c>
      <c r="C69" s="25">
        <f t="shared" ref="C69:H69" si="4">SUM(C67:C68)</f>
        <v>290868877</v>
      </c>
      <c r="D69" s="25">
        <f t="shared" si="4"/>
        <v>501886</v>
      </c>
      <c r="E69" s="25">
        <f t="shared" si="4"/>
        <v>683811</v>
      </c>
      <c r="F69" s="25">
        <f t="shared" si="4"/>
        <v>290686952</v>
      </c>
      <c r="G69" s="25">
        <f t="shared" si="4"/>
        <v>103949161</v>
      </c>
      <c r="H69" s="25">
        <f t="shared" si="4"/>
        <v>186737791</v>
      </c>
    </row>
    <row r="70" spans="2:12">
      <c r="B70" t="s">
        <v>54</v>
      </c>
      <c r="C70" s="18">
        <v>3315468</v>
      </c>
      <c r="D70" s="18">
        <v>7771</v>
      </c>
      <c r="E70" s="18">
        <v>212</v>
      </c>
      <c r="F70" s="18">
        <f>+C70+D70-E70</f>
        <v>3323027</v>
      </c>
      <c r="G70" s="18">
        <v>2150087</v>
      </c>
      <c r="H70" s="18">
        <f>+F70-G70</f>
        <v>1172940</v>
      </c>
    </row>
    <row r="71" spans="2:12">
      <c r="B71" t="s">
        <v>83</v>
      </c>
      <c r="C71" s="18"/>
      <c r="D71" s="18"/>
      <c r="E71" s="18"/>
      <c r="F71" s="18"/>
      <c r="G71" s="18"/>
      <c r="H71" s="18">
        <f>+C71-G71</f>
        <v>0</v>
      </c>
    </row>
    <row r="72" spans="2:12">
      <c r="B72" t="s">
        <v>53</v>
      </c>
      <c r="C72" s="18">
        <v>6411898</v>
      </c>
      <c r="D72" s="18"/>
      <c r="E72" s="18"/>
      <c r="F72" s="18">
        <f>+C72+D72-E72</f>
        <v>6411898</v>
      </c>
      <c r="G72" s="18">
        <v>5208199</v>
      </c>
      <c r="H72" s="18">
        <f>+F72-G72</f>
        <v>1203699</v>
      </c>
    </row>
    <row r="73" spans="2:12">
      <c r="B73" t="s">
        <v>311</v>
      </c>
      <c r="C73" s="18"/>
      <c r="D73" s="18"/>
      <c r="E73" s="18"/>
      <c r="F73" s="18"/>
      <c r="G73" s="18"/>
      <c r="H73" s="18">
        <f>+C73-G73</f>
        <v>0</v>
      </c>
    </row>
    <row r="74" spans="2:12" ht="13.5" thickBot="1">
      <c r="B74" t="s">
        <v>317</v>
      </c>
      <c r="C74" s="18">
        <f>41628004-6411898</f>
        <v>35216106</v>
      </c>
      <c r="D74" s="18">
        <v>796662</v>
      </c>
      <c r="E74" s="18">
        <v>71219</v>
      </c>
      <c r="F74" s="18">
        <f>+C74+D74-E74</f>
        <v>35941549</v>
      </c>
      <c r="G74" s="18">
        <v>24122925</v>
      </c>
      <c r="H74" s="18">
        <f>+F74-G74</f>
        <v>11818624</v>
      </c>
    </row>
    <row r="75" spans="2:12" ht="13.5" thickBot="1">
      <c r="B75" s="1" t="s">
        <v>170</v>
      </c>
      <c r="C75" s="81">
        <f t="shared" ref="C75:H75" si="5">SUM(C69:C74)</f>
        <v>335812349</v>
      </c>
      <c r="D75" s="81">
        <f t="shared" si="5"/>
        <v>1306319</v>
      </c>
      <c r="E75" s="81">
        <f t="shared" si="5"/>
        <v>755242</v>
      </c>
      <c r="F75" s="81">
        <f t="shared" si="5"/>
        <v>336363426</v>
      </c>
      <c r="G75" s="81">
        <f t="shared" si="5"/>
        <v>135430372</v>
      </c>
      <c r="H75" s="81">
        <f t="shared" si="5"/>
        <v>200933054</v>
      </c>
    </row>
    <row r="76" spans="2:12" ht="13.5" thickTop="1">
      <c r="D76" s="18"/>
    </row>
    <row r="77" spans="2:12">
      <c r="B77" s="1116" t="s">
        <v>49</v>
      </c>
      <c r="C77" s="1116"/>
      <c r="D77" s="1116"/>
      <c r="E77" s="1116"/>
    </row>
    <row r="78" spans="2:12">
      <c r="B78" s="1116" t="s">
        <v>50</v>
      </c>
      <c r="C78" s="1116"/>
      <c r="D78" s="1116"/>
      <c r="E78" s="1116"/>
    </row>
    <row r="79" spans="2:12">
      <c r="B79" s="1116" t="s">
        <v>342</v>
      </c>
      <c r="C79" s="1116"/>
      <c r="D79" s="1116"/>
      <c r="E79" s="1116"/>
    </row>
    <row r="80" spans="2:12">
      <c r="B80" s="38"/>
      <c r="C80" s="38"/>
      <c r="D80" s="38"/>
      <c r="E80" s="38"/>
    </row>
    <row r="81" spans="2:12" ht="25.5">
      <c r="B81" s="76" t="s">
        <v>166</v>
      </c>
      <c r="C81" s="43" t="s">
        <v>313</v>
      </c>
      <c r="D81" s="43" t="s">
        <v>314</v>
      </c>
      <c r="E81" s="43" t="s">
        <v>315</v>
      </c>
      <c r="F81" s="43" t="s">
        <v>316</v>
      </c>
      <c r="G81" s="43" t="s">
        <v>167</v>
      </c>
      <c r="H81" s="43" t="s">
        <v>52</v>
      </c>
    </row>
    <row r="82" spans="2:12">
      <c r="B82" t="s">
        <v>14</v>
      </c>
      <c r="C82" s="18">
        <f>+F67</f>
        <v>29415653</v>
      </c>
      <c r="D82" s="18">
        <v>837672</v>
      </c>
      <c r="E82" s="18">
        <v>6623406</v>
      </c>
      <c r="F82" s="18">
        <f>+C82+D82-E82</f>
        <v>23629919</v>
      </c>
      <c r="G82" s="18">
        <f>'BIENES 2008'!E21</f>
        <v>11918937.09</v>
      </c>
      <c r="H82" s="18">
        <f>+F82-G82</f>
        <v>11710981.91</v>
      </c>
      <c r="J82" s="18"/>
    </row>
    <row r="83" spans="2:12" ht="13.5" thickBot="1">
      <c r="B83" t="s">
        <v>18</v>
      </c>
      <c r="C83" s="39">
        <f>+F68</f>
        <v>261271299</v>
      </c>
      <c r="D83" s="39">
        <v>30278110</v>
      </c>
      <c r="E83" s="102">
        <f>-6985711+329711</f>
        <v>-6656000</v>
      </c>
      <c r="F83" s="39">
        <f>+C83+D83-E83</f>
        <v>298205409</v>
      </c>
      <c r="G83" s="39">
        <f>'BIENES 2008'!E39</f>
        <v>101152982.01999988</v>
      </c>
      <c r="H83" s="39">
        <f>+F83-G83</f>
        <v>197052426.98000014</v>
      </c>
      <c r="J83" s="18"/>
      <c r="L83" s="83"/>
    </row>
    <row r="84" spans="2:12">
      <c r="B84" s="12" t="s">
        <v>168</v>
      </c>
      <c r="C84" s="25">
        <f t="shared" ref="C84:H84" si="6">SUM(C82:C83)</f>
        <v>290686952</v>
      </c>
      <c r="D84" s="25">
        <f t="shared" si="6"/>
        <v>31115782</v>
      </c>
      <c r="E84" s="25">
        <f t="shared" si="6"/>
        <v>-32594</v>
      </c>
      <c r="F84" s="25">
        <f t="shared" si="6"/>
        <v>321835328</v>
      </c>
      <c r="G84" s="25">
        <f t="shared" si="6"/>
        <v>113071919.10999988</v>
      </c>
      <c r="H84" s="25">
        <f t="shared" si="6"/>
        <v>208763408.89000013</v>
      </c>
    </row>
    <row r="85" spans="2:12">
      <c r="B85" t="s">
        <v>54</v>
      </c>
      <c r="C85" s="18">
        <f>+F70</f>
        <v>3323027</v>
      </c>
      <c r="D85" s="18">
        <v>1817954</v>
      </c>
      <c r="E85" s="18">
        <f>58+369928</f>
        <v>369986</v>
      </c>
      <c r="F85" s="18">
        <f>+C85+D85-E85</f>
        <v>4770995</v>
      </c>
      <c r="G85" s="18">
        <f>'BIENES 2008'!E93</f>
        <v>2336926.2800000003</v>
      </c>
      <c r="H85" s="18">
        <f>+F85-G85</f>
        <v>2434068.7199999997</v>
      </c>
    </row>
    <row r="86" spans="2:12">
      <c r="B86" t="s">
        <v>83</v>
      </c>
      <c r="C86" s="18"/>
      <c r="D86" s="18"/>
      <c r="E86" s="18"/>
      <c r="F86" s="18"/>
      <c r="G86" s="18"/>
      <c r="H86" s="18">
        <f>+C86-G86</f>
        <v>0</v>
      </c>
    </row>
    <row r="87" spans="2:12">
      <c r="B87" t="s">
        <v>53</v>
      </c>
      <c r="C87" s="18">
        <f>+F72</f>
        <v>6411898</v>
      </c>
      <c r="D87" s="18">
        <v>963619</v>
      </c>
      <c r="E87" s="18">
        <v>68194</v>
      </c>
      <c r="F87" s="18">
        <f>+C87+D87-E87</f>
        <v>7307323</v>
      </c>
      <c r="G87" s="18">
        <f>'BIENES 2008'!E103</f>
        <v>6518846.5699999994</v>
      </c>
      <c r="H87" s="18">
        <f>+F87-G87</f>
        <v>788476.43000000063</v>
      </c>
    </row>
    <row r="88" spans="2:12">
      <c r="B88" t="s">
        <v>311</v>
      </c>
      <c r="C88" s="18">
        <v>6388374</v>
      </c>
      <c r="D88" s="18"/>
      <c r="E88" s="18">
        <v>22289</v>
      </c>
      <c r="F88" s="18">
        <f>+C88+D88-E88</f>
        <v>6366085</v>
      </c>
      <c r="G88" s="18">
        <v>4089824</v>
      </c>
      <c r="H88" s="18">
        <f>+F88-G88</f>
        <v>2276261</v>
      </c>
    </row>
    <row r="89" spans="2:12" ht="13.5" thickBot="1">
      <c r="B89" t="s">
        <v>317</v>
      </c>
      <c r="C89" s="18">
        <v>29553175</v>
      </c>
      <c r="D89" s="18">
        <v>2498652</v>
      </c>
      <c r="E89" s="18">
        <f>2710332+63115</f>
        <v>2773447</v>
      </c>
      <c r="F89" s="18">
        <f>+C89+D89-E89</f>
        <v>29278380</v>
      </c>
      <c r="G89" s="18">
        <f>'BIENES 2008'!E82</f>
        <v>21015850.730000015</v>
      </c>
      <c r="H89" s="18">
        <f>+F89-G89</f>
        <v>8262529.2699999847</v>
      </c>
    </row>
    <row r="90" spans="2:12" ht="13.5" thickBot="1">
      <c r="B90" s="1" t="s">
        <v>170</v>
      </c>
      <c r="C90" s="81">
        <f t="shared" ref="C90:H90" si="7">SUM(C84:C89)</f>
        <v>336363426</v>
      </c>
      <c r="D90" s="81">
        <f t="shared" si="7"/>
        <v>36396007</v>
      </c>
      <c r="E90" s="81">
        <f t="shared" si="7"/>
        <v>3201322</v>
      </c>
      <c r="F90" s="81">
        <f t="shared" si="7"/>
        <v>369558111</v>
      </c>
      <c r="G90" s="81">
        <f t="shared" si="7"/>
        <v>147033366.68999988</v>
      </c>
      <c r="H90" s="81">
        <f t="shared" si="7"/>
        <v>222524744.31000012</v>
      </c>
      <c r="I90" s="18"/>
    </row>
    <row r="91" spans="2:12" ht="13.5" thickTop="1">
      <c r="I91" s="18"/>
    </row>
    <row r="92" spans="2:12">
      <c r="I92" s="18"/>
    </row>
    <row r="93" spans="2:12">
      <c r="C93" s="796"/>
      <c r="D93" s="752" t="s">
        <v>339</v>
      </c>
      <c r="E93" s="752" t="s">
        <v>340</v>
      </c>
      <c r="F93" s="752" t="s">
        <v>341</v>
      </c>
      <c r="G93" s="554"/>
      <c r="H93" s="554"/>
    </row>
    <row r="94" spans="2:12">
      <c r="C94" s="797">
        <v>2005</v>
      </c>
      <c r="D94" s="798">
        <f>+D36/1000000</f>
        <v>1.383321</v>
      </c>
      <c r="E94" s="798">
        <v>51.867953999999997</v>
      </c>
      <c r="F94" s="798">
        <f>+(E36-270995)/1000000</f>
        <v>2.5673409999999999</v>
      </c>
      <c r="G94" s="554"/>
      <c r="H94" s="555"/>
    </row>
    <row r="95" spans="2:12">
      <c r="C95" s="797">
        <f>+C94+1</f>
        <v>2006</v>
      </c>
      <c r="D95" s="798">
        <f>+D60/1000000</f>
        <v>58.113990999999999</v>
      </c>
      <c r="E95" s="798">
        <v>24.173999999999999</v>
      </c>
      <c r="F95" s="798">
        <f>+(E60-E53)/1000000</f>
        <v>0.27412300000000001</v>
      </c>
      <c r="G95" s="554"/>
      <c r="H95" s="555"/>
    </row>
    <row r="96" spans="2:12">
      <c r="C96" s="797">
        <v>2007</v>
      </c>
      <c r="D96" s="798">
        <f>+D75/1000000</f>
        <v>1.306319</v>
      </c>
      <c r="E96" s="798">
        <v>2.3540000000000001</v>
      </c>
      <c r="F96" s="798">
        <f>E75/1000000</f>
        <v>0.75524199999999997</v>
      </c>
      <c r="G96" s="554"/>
      <c r="H96" s="798">
        <f>+SUM(D94:D96)</f>
        <v>60.803631000000003</v>
      </c>
    </row>
    <row r="97" spans="2:8">
      <c r="C97" s="797">
        <v>2008</v>
      </c>
      <c r="D97" s="798">
        <f>+D90/1000000</f>
        <v>36.396006999999997</v>
      </c>
      <c r="E97" s="798">
        <v>0.19700000000000001</v>
      </c>
      <c r="F97" s="798">
        <f>+E90/1000000</f>
        <v>3.2013219999999998</v>
      </c>
      <c r="G97" s="554"/>
      <c r="H97" s="555"/>
    </row>
    <row r="98" spans="2:8">
      <c r="C98" s="797">
        <v>2009</v>
      </c>
      <c r="D98" s="798"/>
      <c r="E98" s="798">
        <v>0.34699999999999998</v>
      </c>
      <c r="F98" s="798"/>
      <c r="G98" s="554"/>
      <c r="H98" s="555"/>
    </row>
    <row r="99" spans="2:8">
      <c r="C99" s="799" t="s">
        <v>85</v>
      </c>
      <c r="D99" s="800">
        <f>+SUM(D94:D98)</f>
        <v>97.199637999999993</v>
      </c>
      <c r="E99" s="800">
        <f>+SUM(E94:E98)</f>
        <v>78.939954</v>
      </c>
      <c r="F99" s="800">
        <f>+SUM(F94:F98)</f>
        <v>6.7980279999999995</v>
      </c>
      <c r="G99" s="554"/>
      <c r="H99" s="798">
        <f>+D99-E99</f>
        <v>18.259683999999993</v>
      </c>
    </row>
    <row r="100" spans="2:8">
      <c r="C100" s="555"/>
      <c r="D100" s="554"/>
      <c r="E100" s="554"/>
      <c r="F100" s="554"/>
      <c r="G100" s="554"/>
      <c r="H100" s="554"/>
    </row>
    <row r="101" spans="2:8">
      <c r="C101" s="555" t="s">
        <v>411</v>
      </c>
      <c r="D101" s="798">
        <f>+(D31+D55+D59+D70+D85+D87+D89+D74+D35)/1000000</f>
        <v>7.4849600000000001</v>
      </c>
      <c r="E101" s="554"/>
      <c r="F101" s="554"/>
      <c r="G101" s="554"/>
      <c r="H101" s="554"/>
    </row>
    <row r="102" spans="2:8">
      <c r="C102" s="555" t="s">
        <v>87</v>
      </c>
      <c r="D102" s="798">
        <f>+(D29+D53+D68+D83)/1000000</f>
        <v>88.487054000000001</v>
      </c>
      <c r="E102" s="554"/>
      <c r="F102" s="554"/>
      <c r="G102" s="554"/>
      <c r="H102" s="554"/>
    </row>
    <row r="103" spans="2:8">
      <c r="C103" s="555" t="s">
        <v>58</v>
      </c>
      <c r="D103" s="798">
        <f>+(D28+D52+D67+D82)/1000000</f>
        <v>1.227624</v>
      </c>
      <c r="E103" s="554"/>
      <c r="F103" s="554"/>
      <c r="G103" s="554"/>
      <c r="H103" s="554"/>
    </row>
    <row r="104" spans="2:8">
      <c r="C104" s="555" t="str">
        <f>+C99</f>
        <v>Total</v>
      </c>
      <c r="D104" s="800">
        <f>+SUM(D101:D103)</f>
        <v>97.199638000000007</v>
      </c>
      <c r="E104" s="801"/>
      <c r="F104" s="554"/>
      <c r="G104" s="554"/>
      <c r="H104" s="554"/>
    </row>
    <row r="105" spans="2:8">
      <c r="C105" s="18"/>
    </row>
    <row r="106" spans="2:8">
      <c r="C106" s="18"/>
    </row>
    <row r="107" spans="2:8">
      <c r="B107" s="2" t="s">
        <v>319</v>
      </c>
      <c r="C107" s="554"/>
      <c r="D107" s="802" t="s">
        <v>321</v>
      </c>
      <c r="E107" s="802" t="s">
        <v>320</v>
      </c>
      <c r="F107" s="802" t="s">
        <v>218</v>
      </c>
      <c r="G107" s="554"/>
      <c r="H107" s="802" t="s">
        <v>322</v>
      </c>
    </row>
    <row r="108" spans="2:8">
      <c r="B108" s="554"/>
      <c r="C108" s="554"/>
      <c r="D108" s="554"/>
      <c r="E108" s="554"/>
      <c r="F108" s="554"/>
      <c r="G108" s="554"/>
      <c r="H108" s="554"/>
    </row>
    <row r="109" spans="2:8">
      <c r="B109" s="777" t="s">
        <v>38</v>
      </c>
      <c r="C109" s="554"/>
      <c r="D109" s="773">
        <f>+F83</f>
        <v>298205409</v>
      </c>
      <c r="E109" s="773">
        <f>+'ART. 177'!S9</f>
        <v>-5369261.8256433606</v>
      </c>
      <c r="F109" s="774">
        <f>+D109+E109</f>
        <v>292836147.17435664</v>
      </c>
      <c r="G109" s="554"/>
      <c r="H109" s="803">
        <f>+F109/D109-1</f>
        <v>-1.8005246261791896E-2</v>
      </c>
    </row>
    <row r="110" spans="2:8">
      <c r="B110" s="777" t="s">
        <v>276</v>
      </c>
      <c r="C110" s="554"/>
      <c r="D110" s="555">
        <f>+G83</f>
        <v>101152982.01999988</v>
      </c>
      <c r="E110" s="555">
        <f>+'ART. 177'!T9</f>
        <v>-363939.73604892194</v>
      </c>
      <c r="F110" s="804">
        <f>+D110+E110</f>
        <v>100789042.28395095</v>
      </c>
      <c r="G110" s="554"/>
      <c r="H110" s="803">
        <f>+F110/D110-1</f>
        <v>-3.5979140583018987E-3</v>
      </c>
    </row>
    <row r="111" spans="2:8">
      <c r="B111" s="777" t="s">
        <v>39</v>
      </c>
      <c r="C111" s="554"/>
      <c r="D111" s="555">
        <f>+H83</f>
        <v>197052426.98000014</v>
      </c>
      <c r="E111" s="554"/>
      <c r="F111" s="555">
        <f>+F109-F110</f>
        <v>192047104.89040568</v>
      </c>
      <c r="G111" s="554"/>
      <c r="H111" s="554"/>
    </row>
    <row r="112" spans="2:8">
      <c r="B112" s="554"/>
      <c r="C112" s="554"/>
      <c r="D112" s="554"/>
      <c r="E112" s="554"/>
      <c r="F112" s="554"/>
      <c r="G112" s="554"/>
      <c r="H112" s="554"/>
    </row>
    <row r="113" spans="2:8">
      <c r="B113" s="554"/>
      <c r="C113" s="554"/>
      <c r="D113" s="554"/>
      <c r="E113" s="554"/>
      <c r="F113" s="554"/>
      <c r="G113" s="554"/>
      <c r="H113" s="554"/>
    </row>
    <row r="114" spans="2:8">
      <c r="B114" s="777" t="s">
        <v>40</v>
      </c>
      <c r="C114" s="554"/>
      <c r="D114" s="773">
        <f>+F82</f>
        <v>23629919</v>
      </c>
      <c r="E114" s="773">
        <f>+'ART. 177'!S8</f>
        <v>-597615.83877454698</v>
      </c>
      <c r="F114" s="774">
        <f>+D114+E114</f>
        <v>23032303.161225453</v>
      </c>
      <c r="G114" s="554"/>
      <c r="H114" s="803">
        <f>+F114/D114-1</f>
        <v>-2.5290642713356237E-2</v>
      </c>
    </row>
    <row r="115" spans="2:8">
      <c r="B115" s="777" t="s">
        <v>276</v>
      </c>
      <c r="C115" s="554"/>
      <c r="D115" s="555">
        <f>+G82</f>
        <v>11918937.09</v>
      </c>
      <c r="E115" s="555">
        <f>+'ART. 177'!T8</f>
        <v>-76285.379858601838</v>
      </c>
      <c r="F115" s="804">
        <f>+D115+E115</f>
        <v>11842651.710141398</v>
      </c>
      <c r="G115" s="554"/>
      <c r="H115" s="803">
        <f>+F115/D115-1</f>
        <v>-6.4003509107036782E-3</v>
      </c>
    </row>
    <row r="116" spans="2:8">
      <c r="B116" s="777" t="s">
        <v>41</v>
      </c>
      <c r="C116" s="554"/>
      <c r="D116" s="555">
        <f>+H82</f>
        <v>11710981.91</v>
      </c>
      <c r="E116" s="554"/>
      <c r="F116" s="555">
        <f>+F114-F115</f>
        <v>11189651.451084055</v>
      </c>
      <c r="G116" s="554"/>
      <c r="H116" s="554"/>
    </row>
    <row r="117" spans="2:8">
      <c r="B117" s="554"/>
      <c r="C117" s="554"/>
      <c r="D117" s="554"/>
      <c r="E117" s="554"/>
      <c r="F117" s="554"/>
      <c r="G117" s="554"/>
      <c r="H117" s="554"/>
    </row>
    <row r="118" spans="2:8">
      <c r="B118" s="777" t="s">
        <v>85</v>
      </c>
      <c r="C118" s="554"/>
      <c r="D118" s="555">
        <f>+D109+D114</f>
        <v>321835328</v>
      </c>
      <c r="E118" s="554"/>
      <c r="F118" s="555">
        <f>+F109+F114</f>
        <v>315868450.33558208</v>
      </c>
      <c r="G118" s="554"/>
      <c r="H118" s="554"/>
    </row>
    <row r="119" spans="2:8">
      <c r="B119" s="554"/>
      <c r="C119" s="554"/>
      <c r="D119" s="555">
        <f t="shared" ref="D119:F120" si="8">+D110+D115</f>
        <v>113071919.10999988</v>
      </c>
      <c r="E119" s="554"/>
      <c r="F119" s="555">
        <f t="shared" si="8"/>
        <v>112631693.99409235</v>
      </c>
      <c r="G119" s="554"/>
      <c r="H119" s="554"/>
    </row>
    <row r="120" spans="2:8">
      <c r="B120" s="554"/>
      <c r="C120" s="554"/>
      <c r="D120" s="555">
        <f t="shared" si="8"/>
        <v>208763408.89000013</v>
      </c>
      <c r="E120" s="554"/>
      <c r="F120" s="555">
        <f t="shared" si="8"/>
        <v>203236756.34148973</v>
      </c>
      <c r="G120" s="554"/>
      <c r="H120" s="554"/>
    </row>
  </sheetData>
  <sheetProtection password="CC27" sheet="1" formatCells="0" formatColumns="0" formatRows="0" insertColumns="0" insertRows="0" insertHyperlinks="0" deleteColumns="0" deleteRows="0" sort="0" autoFilter="0" pivotTables="0"/>
  <mergeCells count="15">
    <mergeCell ref="B2:E2"/>
    <mergeCell ref="B3:E3"/>
    <mergeCell ref="B4:E4"/>
    <mergeCell ref="B23:E23"/>
    <mergeCell ref="B25:E25"/>
    <mergeCell ref="B47:E47"/>
    <mergeCell ref="B48:E48"/>
    <mergeCell ref="B49:E49"/>
    <mergeCell ref="B24:E24"/>
    <mergeCell ref="B77:E77"/>
    <mergeCell ref="B78:E78"/>
    <mergeCell ref="B79:E79"/>
    <mergeCell ref="B62:E62"/>
    <mergeCell ref="B63:E63"/>
    <mergeCell ref="B64:E64"/>
  </mergeCells>
  <phoneticPr fontId="0" type="noConversion"/>
  <printOptions horizontalCentered="1" verticalCentered="1" gridLines="1"/>
  <pageMargins left="0.75" right="0.75" top="1" bottom="1" header="0" footer="0"/>
  <pageSetup scale="80" orientation="landscape" r:id="rId1"/>
  <headerFooter alignWithMargins="0">
    <oddFooter>&amp;CIMP ETESA&amp;R&amp;P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G120"/>
  <sheetViews>
    <sheetView topLeftCell="A37" zoomScale="75" workbookViewId="0">
      <selection activeCell="F50" sqref="F50"/>
    </sheetView>
  </sheetViews>
  <sheetFormatPr baseColWidth="10" defaultRowHeight="12.75"/>
  <cols>
    <col min="1" max="1" width="4" style="4" customWidth="1"/>
    <col min="2" max="2" width="5" style="4" customWidth="1"/>
    <col min="3" max="3" width="50.5703125" style="4" customWidth="1"/>
    <col min="4" max="6" width="22.7109375" style="4" customWidth="1"/>
    <col min="7" max="7" width="18.85546875" style="417" customWidth="1"/>
    <col min="8" max="16384" width="11.42578125" style="4"/>
  </cols>
  <sheetData>
    <row r="2" spans="2:7">
      <c r="B2" s="1120" t="s">
        <v>343</v>
      </c>
      <c r="C2" s="1120"/>
      <c r="D2" s="1120"/>
      <c r="E2" s="1120"/>
      <c r="F2" s="1120"/>
    </row>
    <row r="3" spans="2:7">
      <c r="B3" s="1120" t="s">
        <v>50</v>
      </c>
      <c r="C3" s="1120"/>
      <c r="D3" s="1120"/>
      <c r="E3" s="1120"/>
      <c r="F3" s="1120"/>
    </row>
    <row r="4" spans="2:7" ht="15.75">
      <c r="B4" s="1120" t="s">
        <v>342</v>
      </c>
      <c r="C4" s="1120"/>
      <c r="D4" s="1120"/>
      <c r="E4" s="1120"/>
      <c r="F4" s="1120"/>
      <c r="G4" s="418"/>
    </row>
    <row r="5" spans="2:7" ht="15.75">
      <c r="B5" s="1120" t="s">
        <v>344</v>
      </c>
      <c r="C5" s="1120"/>
      <c r="D5" s="1120"/>
      <c r="E5" s="1120"/>
      <c r="F5" s="1120"/>
      <c r="G5" s="418"/>
    </row>
    <row r="6" spans="2:7" s="420" customFormat="1" ht="18" customHeight="1">
      <c r="B6" s="359"/>
      <c r="C6" s="360" t="s">
        <v>166</v>
      </c>
      <c r="D6" s="360" t="s">
        <v>51</v>
      </c>
      <c r="E6" s="360" t="s">
        <v>345</v>
      </c>
      <c r="F6" s="360" t="s">
        <v>52</v>
      </c>
      <c r="G6" s="419"/>
    </row>
    <row r="7" spans="2:7" s="420" customFormat="1" ht="15.75">
      <c r="B7" s="361" t="s">
        <v>346</v>
      </c>
      <c r="C7" s="19"/>
      <c r="D7" s="362">
        <f>+D8+D11</f>
        <v>351113710.8099997</v>
      </c>
      <c r="E7" s="121">
        <f>+E8+E11</f>
        <v>134087769.8399999</v>
      </c>
      <c r="F7" s="362">
        <f>+F8+F11</f>
        <v>217025940.96999991</v>
      </c>
      <c r="G7" s="417"/>
    </row>
    <row r="8" spans="2:7" ht="15">
      <c r="B8" s="363"/>
      <c r="C8" s="364" t="s">
        <v>14</v>
      </c>
      <c r="D8" s="365">
        <f>SUM(D9:D10)</f>
        <v>23629919.131971143</v>
      </c>
      <c r="E8" s="366">
        <f>SUM(E9:E10)</f>
        <v>11918937.09</v>
      </c>
      <c r="F8" s="365">
        <f>SUM(F9:F10)</f>
        <v>11710982.041971141</v>
      </c>
    </row>
    <row r="9" spans="2:7" ht="14.25">
      <c r="B9" s="363"/>
      <c r="C9" s="19" t="s">
        <v>171</v>
      </c>
      <c r="D9" s="367">
        <f>+D23+D28</f>
        <v>20276682.421971142</v>
      </c>
      <c r="E9" s="118">
        <f>+E23+E28</f>
        <v>10101931.27</v>
      </c>
      <c r="F9" s="367">
        <f>+F23+F28</f>
        <v>10174751.151971141</v>
      </c>
    </row>
    <row r="10" spans="2:7" ht="14.25">
      <c r="B10" s="363"/>
      <c r="C10" s="19" t="s">
        <v>347</v>
      </c>
      <c r="D10" s="367">
        <f>+D34</f>
        <v>3353236.71</v>
      </c>
      <c r="E10" s="118">
        <f>+E34</f>
        <v>1817005.82</v>
      </c>
      <c r="F10" s="367">
        <f>+F34</f>
        <v>1536230.89</v>
      </c>
    </row>
    <row r="11" spans="2:7" ht="15">
      <c r="B11" s="363"/>
      <c r="C11" s="364" t="s">
        <v>18</v>
      </c>
      <c r="D11" s="365">
        <f>SUM(D12:D14)</f>
        <v>327483791.67802858</v>
      </c>
      <c r="E11" s="366">
        <f>SUM(E12:E14)</f>
        <v>122168832.7499999</v>
      </c>
      <c r="F11" s="365">
        <f>SUM(F12:F14)</f>
        <v>205314958.92802876</v>
      </c>
    </row>
    <row r="12" spans="2:7" ht="14.25">
      <c r="B12" s="363"/>
      <c r="C12" s="19" t="s">
        <v>171</v>
      </c>
      <c r="D12" s="367">
        <f>+D63</f>
        <v>112096836.97802885</v>
      </c>
      <c r="E12" s="118">
        <f>+E63</f>
        <v>44083003.099999994</v>
      </c>
      <c r="F12" s="367">
        <f>+F63</f>
        <v>68013833.878028855</v>
      </c>
    </row>
    <row r="13" spans="2:7" ht="14.25">
      <c r="B13" s="363"/>
      <c r="C13" s="19" t="s">
        <v>347</v>
      </c>
      <c r="D13" s="367">
        <f>+D40</f>
        <v>186108571.9399997</v>
      </c>
      <c r="E13" s="118">
        <f>+E40</f>
        <v>57069978.919999883</v>
      </c>
      <c r="F13" s="367">
        <f>+F40</f>
        <v>129038593.01999991</v>
      </c>
    </row>
    <row r="14" spans="2:7" ht="14.25">
      <c r="B14" s="363"/>
      <c r="C14" s="19" t="s">
        <v>348</v>
      </c>
      <c r="D14" s="367">
        <f>+D82</f>
        <v>29278382.760000031</v>
      </c>
      <c r="E14" s="118">
        <f>+E82</f>
        <v>21015850.730000015</v>
      </c>
      <c r="F14" s="367">
        <f>+F82</f>
        <v>8262532.0300000086</v>
      </c>
    </row>
    <row r="15" spans="2:7" ht="15">
      <c r="B15" s="361" t="s">
        <v>331</v>
      </c>
      <c r="C15" s="3"/>
      <c r="D15" s="362">
        <f>+D93</f>
        <v>4770993.580000001</v>
      </c>
      <c r="E15" s="121">
        <f>+E93</f>
        <v>2336926.2800000003</v>
      </c>
      <c r="F15" s="362">
        <f>+F93</f>
        <v>2434067.3000000003</v>
      </c>
    </row>
    <row r="16" spans="2:7" ht="15">
      <c r="B16" s="361" t="s">
        <v>53</v>
      </c>
      <c r="C16" s="3"/>
      <c r="D16" s="362">
        <f>+D103</f>
        <v>7307322.4800000004</v>
      </c>
      <c r="E16" s="121">
        <f>+E103</f>
        <v>6518846.5699999994</v>
      </c>
      <c r="F16" s="362">
        <f>+F103</f>
        <v>788475.91000000015</v>
      </c>
    </row>
    <row r="17" spans="2:7" ht="15">
      <c r="B17" s="361" t="s">
        <v>169</v>
      </c>
      <c r="C17" s="3"/>
      <c r="D17" s="362">
        <f>+D113</f>
        <v>6366084.5300000003</v>
      </c>
      <c r="E17" s="121">
        <f>+E113</f>
        <v>4089823.86</v>
      </c>
      <c r="F17" s="362">
        <f>+F113</f>
        <v>2276260.6700000004</v>
      </c>
    </row>
    <row r="18" spans="2:7" s="420" customFormat="1" ht="21.95" customHeight="1">
      <c r="B18" s="368"/>
      <c r="C18" s="360" t="s">
        <v>349</v>
      </c>
      <c r="D18" s="369">
        <f>+D8+D11+D15+D16+D17</f>
        <v>369558111.39999968</v>
      </c>
      <c r="E18" s="369">
        <f>+E8+E11+E15+E16+E17</f>
        <v>147033366.54999989</v>
      </c>
      <c r="F18" s="369">
        <f>+F8+F11+F15+F16+F17</f>
        <v>222524744.8499999</v>
      </c>
      <c r="G18" s="417"/>
    </row>
    <row r="19" spans="2:7" ht="15">
      <c r="B19" s="363"/>
      <c r="C19" s="3"/>
      <c r="D19" s="121"/>
      <c r="E19" s="121"/>
      <c r="F19" s="370"/>
    </row>
    <row r="20" spans="2:7" ht="19.5" customHeight="1">
      <c r="B20" s="1117" t="s">
        <v>350</v>
      </c>
      <c r="C20" s="1118"/>
      <c r="D20" s="1118"/>
      <c r="E20" s="1118"/>
      <c r="F20" s="1119"/>
    </row>
    <row r="21" spans="2:7" s="420" customFormat="1" ht="21.95" customHeight="1">
      <c r="B21" s="368"/>
      <c r="C21" s="371" t="s">
        <v>14</v>
      </c>
      <c r="D21" s="369">
        <f>+D23+D28+D34</f>
        <v>23629919.131971143</v>
      </c>
      <c r="E21" s="369">
        <f>+E23+E28+E34</f>
        <v>11918937.09</v>
      </c>
      <c r="F21" s="369">
        <f>+F23+F28+F34</f>
        <v>11710982.041971141</v>
      </c>
      <c r="G21" s="417"/>
    </row>
    <row r="22" spans="2:7" ht="15.75">
      <c r="B22" s="372"/>
      <c r="C22" s="373" t="s">
        <v>171</v>
      </c>
      <c r="D22" s="374">
        <f>+D23+D28</f>
        <v>20276682.421971142</v>
      </c>
      <c r="E22" s="374">
        <f>+E23+E28</f>
        <v>10101931.27</v>
      </c>
      <c r="F22" s="374">
        <f>+F23+F28</f>
        <v>10174751.151971141</v>
      </c>
    </row>
    <row r="23" spans="2:7" ht="15">
      <c r="B23" s="372"/>
      <c r="C23" s="375" t="s">
        <v>172</v>
      </c>
      <c r="D23" s="376">
        <f>SUM(D24:D27)</f>
        <v>12587668.211971141</v>
      </c>
      <c r="E23" s="376">
        <f>SUM(E24:E27)</f>
        <v>5865704.5300000003</v>
      </c>
      <c r="F23" s="376">
        <f>SUM(F24:F27)</f>
        <v>6721963.6819711402</v>
      </c>
    </row>
    <row r="24" spans="2:7" ht="14.25">
      <c r="B24" s="377"/>
      <c r="C24" s="378" t="s">
        <v>351</v>
      </c>
      <c r="D24" s="105">
        <v>1336574.92</v>
      </c>
      <c r="E24" s="105">
        <v>958139.2</v>
      </c>
      <c r="F24" s="367">
        <f>+D24-E24</f>
        <v>378435.72</v>
      </c>
    </row>
    <row r="25" spans="2:7" ht="14.25">
      <c r="B25" s="377"/>
      <c r="C25" s="378" t="s">
        <v>352</v>
      </c>
      <c r="D25" s="105">
        <f>4331988.52+114736.72</f>
        <v>4446725.2399999993</v>
      </c>
      <c r="E25" s="105">
        <v>2823210.56</v>
      </c>
      <c r="F25" s="367">
        <f>+D25-E25</f>
        <v>1623514.6799999992</v>
      </c>
    </row>
    <row r="26" spans="2:7" s="32" customFormat="1" ht="14.25">
      <c r="B26" s="379"/>
      <c r="C26" s="378" t="s">
        <v>391</v>
      </c>
      <c r="D26" s="105">
        <v>5811626.1419711411</v>
      </c>
      <c r="E26" s="105">
        <v>1394601.12</v>
      </c>
      <c r="F26" s="114">
        <f>+D26-E26</f>
        <v>4417025.021971141</v>
      </c>
      <c r="G26" s="417"/>
    </row>
    <row r="27" spans="2:7" ht="14.25">
      <c r="B27" s="377"/>
      <c r="C27" s="378" t="s">
        <v>353</v>
      </c>
      <c r="D27" s="105">
        <v>992741.91</v>
      </c>
      <c r="E27" s="105">
        <v>689753.65</v>
      </c>
      <c r="F27" s="367">
        <f>+D27-E27</f>
        <v>302988.26</v>
      </c>
    </row>
    <row r="28" spans="2:7" ht="15">
      <c r="B28" s="377"/>
      <c r="C28" s="380" t="s">
        <v>176</v>
      </c>
      <c r="D28" s="381">
        <f>SUM(D29:D32)</f>
        <v>7689014.21</v>
      </c>
      <c r="E28" s="381">
        <f>SUM(E29:E32)</f>
        <v>4236226.7399999993</v>
      </c>
      <c r="F28" s="381">
        <f>SUM(F29:F32)</f>
        <v>3452787.47</v>
      </c>
    </row>
    <row r="29" spans="2:7" ht="14.25">
      <c r="B29" s="377"/>
      <c r="C29" s="378" t="s">
        <v>354</v>
      </c>
      <c r="D29" s="105">
        <v>5198137.3499999996</v>
      </c>
      <c r="E29" s="105">
        <f>3463462.82-56801.79</f>
        <v>3406661.03</v>
      </c>
      <c r="F29" s="367">
        <f>+D29-E29</f>
        <v>1791476.3199999998</v>
      </c>
    </row>
    <row r="30" spans="2:7" ht="14.25">
      <c r="B30" s="377"/>
      <c r="C30" s="378" t="s">
        <v>355</v>
      </c>
      <c r="D30" s="105">
        <v>719864.56</v>
      </c>
      <c r="E30" s="105">
        <v>448178.61</v>
      </c>
      <c r="F30" s="367">
        <f>+D30-E30</f>
        <v>271685.95000000007</v>
      </c>
    </row>
    <row r="31" spans="2:7" ht="14.25">
      <c r="B31" s="377"/>
      <c r="C31" s="378" t="s">
        <v>356</v>
      </c>
      <c r="D31" s="105">
        <v>1314634.6000000001</v>
      </c>
      <c r="E31" s="105">
        <v>95623.05</v>
      </c>
      <c r="F31" s="367">
        <f>+D31-E31</f>
        <v>1219011.55</v>
      </c>
    </row>
    <row r="32" spans="2:7" ht="14.25">
      <c r="B32" s="377"/>
      <c r="C32" s="378" t="s">
        <v>357</v>
      </c>
      <c r="D32" s="105">
        <v>456377.7</v>
      </c>
      <c r="E32" s="105">
        <v>285764.05</v>
      </c>
      <c r="F32" s="367">
        <f>+D32-E32</f>
        <v>170613.65000000002</v>
      </c>
    </row>
    <row r="33" spans="2:7" ht="14.25">
      <c r="B33" s="377"/>
      <c r="C33" s="382" t="s">
        <v>347</v>
      </c>
      <c r="D33" s="383"/>
      <c r="E33" s="384"/>
      <c r="F33" s="367"/>
    </row>
    <row r="34" spans="2:7" ht="15.75">
      <c r="B34" s="377"/>
      <c r="C34" s="380" t="s">
        <v>172</v>
      </c>
      <c r="D34" s="385">
        <f>SUM(D35:D38)</f>
        <v>3353236.71</v>
      </c>
      <c r="E34" s="385">
        <f>SUM(E35:E38)</f>
        <v>1817005.82</v>
      </c>
      <c r="F34" s="385">
        <f>SUM(F35:F38)</f>
        <v>1536230.89</v>
      </c>
    </row>
    <row r="35" spans="2:7" ht="14.25">
      <c r="B35" s="377"/>
      <c r="C35" s="378" t="s">
        <v>358</v>
      </c>
      <c r="D35" s="105">
        <v>715784.16</v>
      </c>
      <c r="E35" s="105">
        <v>383929.9</v>
      </c>
      <c r="F35" s="367">
        <f>+D35-E35</f>
        <v>331854.26</v>
      </c>
    </row>
    <row r="36" spans="2:7" ht="14.25">
      <c r="B36" s="377"/>
      <c r="C36" s="378" t="s">
        <v>359</v>
      </c>
      <c r="D36" s="105">
        <v>787489.69</v>
      </c>
      <c r="E36" s="105">
        <v>96367.99</v>
      </c>
      <c r="F36" s="367">
        <f>+D36-E36</f>
        <v>691121.7</v>
      </c>
    </row>
    <row r="37" spans="2:7" ht="14.25">
      <c r="B37" s="377"/>
      <c r="C37" s="378" t="s">
        <v>360</v>
      </c>
      <c r="D37" s="105">
        <v>41700</v>
      </c>
      <c r="E37" s="105">
        <v>33963.81</v>
      </c>
      <c r="F37" s="367">
        <f>+D37-E37</f>
        <v>7736.1900000000023</v>
      </c>
    </row>
    <row r="38" spans="2:7" ht="14.25">
      <c r="B38" s="377"/>
      <c r="C38" s="378" t="s">
        <v>361</v>
      </c>
      <c r="D38" s="105">
        <v>1808262.86</v>
      </c>
      <c r="E38" s="105">
        <v>1302744.1200000001</v>
      </c>
      <c r="F38" s="367">
        <f>+D38-E38</f>
        <v>505518.74</v>
      </c>
    </row>
    <row r="39" spans="2:7" s="420" customFormat="1" ht="21.95" customHeight="1">
      <c r="B39" s="386"/>
      <c r="C39" s="601" t="s">
        <v>18</v>
      </c>
      <c r="D39" s="369">
        <f>+D40+D63</f>
        <v>298205408.91802853</v>
      </c>
      <c r="E39" s="369">
        <f>+E40+E63</f>
        <v>101152982.01999988</v>
      </c>
      <c r="F39" s="403">
        <f>+F40+F63</f>
        <v>197052426.89802876</v>
      </c>
      <c r="G39" s="417"/>
    </row>
    <row r="40" spans="2:7" ht="15">
      <c r="B40" s="388"/>
      <c r="C40" s="602" t="s">
        <v>347</v>
      </c>
      <c r="D40" s="389">
        <f>+D41+D56</f>
        <v>186108571.9399997</v>
      </c>
      <c r="E40" s="389">
        <f>+E41+E56</f>
        <v>57069978.919999883</v>
      </c>
      <c r="F40" s="390">
        <f>+F41+F56</f>
        <v>129038593.01999991</v>
      </c>
    </row>
    <row r="41" spans="2:7" ht="15">
      <c r="B41" s="377"/>
      <c r="C41" s="603" t="s">
        <v>181</v>
      </c>
      <c r="D41" s="107">
        <f>SUM(D42:D55)</f>
        <v>166519367.36999971</v>
      </c>
      <c r="E41" s="107">
        <f>SUM(E42:E55)</f>
        <v>50936605.739999883</v>
      </c>
      <c r="F41" s="391">
        <f>SUM(F42:F55)</f>
        <v>115582761.62999991</v>
      </c>
    </row>
    <row r="42" spans="2:7" ht="14.25">
      <c r="B42" s="377"/>
      <c r="C42" s="604" t="s">
        <v>362</v>
      </c>
      <c r="D42" s="105">
        <v>5007767.68</v>
      </c>
      <c r="E42" s="105">
        <v>3689430.29</v>
      </c>
      <c r="F42" s="392">
        <f t="shared" ref="F42:F55" si="0">+D42-E42</f>
        <v>1318337.3899999997</v>
      </c>
    </row>
    <row r="43" spans="2:7" ht="14.25">
      <c r="B43" s="377"/>
      <c r="C43" s="604" t="s">
        <v>363</v>
      </c>
      <c r="D43" s="105">
        <v>14599501.789999995</v>
      </c>
      <c r="E43" s="105">
        <v>10883438.949999996</v>
      </c>
      <c r="F43" s="392">
        <f t="shared" si="0"/>
        <v>3716062.84</v>
      </c>
    </row>
    <row r="44" spans="2:7" ht="14.25">
      <c r="B44" s="377"/>
      <c r="C44" s="604" t="s">
        <v>364</v>
      </c>
      <c r="D44" s="393">
        <v>17449558.319999922</v>
      </c>
      <c r="E44" s="393">
        <v>2052593.07</v>
      </c>
      <c r="F44" s="392">
        <f t="shared" si="0"/>
        <v>15396965.249999922</v>
      </c>
    </row>
    <row r="45" spans="2:7" ht="14.25">
      <c r="B45" s="377"/>
      <c r="C45" s="604" t="s">
        <v>365</v>
      </c>
      <c r="D45" s="393">
        <v>20814874.849999912</v>
      </c>
      <c r="E45" s="393">
        <f>15023067.8899999+60186.38</f>
        <v>15083254.269999901</v>
      </c>
      <c r="F45" s="392">
        <f t="shared" si="0"/>
        <v>5731620.5800000113</v>
      </c>
    </row>
    <row r="46" spans="2:7" ht="14.25">
      <c r="B46" s="377"/>
      <c r="C46" s="604" t="s">
        <v>366</v>
      </c>
      <c r="D46" s="105">
        <v>3892745.69</v>
      </c>
      <c r="E46" s="105">
        <v>2577289.33</v>
      </c>
      <c r="F46" s="392">
        <f t="shared" si="0"/>
        <v>1315456.3599999999</v>
      </c>
    </row>
    <row r="47" spans="2:7" ht="14.25">
      <c r="B47" s="377"/>
      <c r="C47" s="604" t="s">
        <v>367</v>
      </c>
      <c r="D47" s="105">
        <f>55896544.9-114736.72</f>
        <v>55781808.18</v>
      </c>
      <c r="E47" s="105">
        <v>5251555.75</v>
      </c>
      <c r="F47" s="392">
        <f t="shared" si="0"/>
        <v>50530252.43</v>
      </c>
    </row>
    <row r="48" spans="2:7" ht="14.25">
      <c r="B48" s="377"/>
      <c r="C48" s="604" t="s">
        <v>368</v>
      </c>
      <c r="D48" s="105">
        <v>1550740.46</v>
      </c>
      <c r="E48" s="105">
        <v>1112154.44</v>
      </c>
      <c r="F48" s="392">
        <f t="shared" si="0"/>
        <v>438586.02</v>
      </c>
    </row>
    <row r="49" spans="2:6" ht="14.25">
      <c r="B49" s="377"/>
      <c r="C49" s="604" t="s">
        <v>369</v>
      </c>
      <c r="D49" s="105">
        <v>4093193.16</v>
      </c>
      <c r="E49" s="105">
        <v>3012046.24</v>
      </c>
      <c r="F49" s="392">
        <f t="shared" si="0"/>
        <v>1081146.92</v>
      </c>
    </row>
    <row r="50" spans="2:6" ht="14.25">
      <c r="B50" s="377"/>
      <c r="C50" s="604" t="s">
        <v>370</v>
      </c>
      <c r="D50" s="105">
        <v>1859809.35</v>
      </c>
      <c r="E50" s="105">
        <v>1419915.21</v>
      </c>
      <c r="F50" s="392">
        <f t="shared" si="0"/>
        <v>439894.14000000013</v>
      </c>
    </row>
    <row r="51" spans="2:6" ht="14.25">
      <c r="B51" s="377"/>
      <c r="C51" s="605" t="s">
        <v>371</v>
      </c>
      <c r="D51" s="105">
        <v>1993987.31</v>
      </c>
      <c r="E51" s="105">
        <v>877427.66</v>
      </c>
      <c r="F51" s="392">
        <f t="shared" si="0"/>
        <v>1116559.6499999999</v>
      </c>
    </row>
    <row r="52" spans="2:6" ht="14.25">
      <c r="B52" s="377"/>
      <c r="C52" s="604" t="s">
        <v>372</v>
      </c>
      <c r="D52" s="105">
        <v>13567159.91999994</v>
      </c>
      <c r="E52" s="105">
        <v>1538195.0399999884</v>
      </c>
      <c r="F52" s="392">
        <f t="shared" si="0"/>
        <v>12028964.879999952</v>
      </c>
    </row>
    <row r="53" spans="2:6" ht="14.25">
      <c r="B53" s="377"/>
      <c r="C53" s="606" t="s">
        <v>373</v>
      </c>
      <c r="D53" s="105">
        <v>3236957.95</v>
      </c>
      <c r="E53" s="105">
        <v>638433.52</v>
      </c>
      <c r="F53" s="392">
        <f t="shared" si="0"/>
        <v>2598524.4300000002</v>
      </c>
    </row>
    <row r="54" spans="2:6" ht="14.25">
      <c r="B54" s="377"/>
      <c r="C54" s="607" t="s">
        <v>374</v>
      </c>
      <c r="D54" s="105">
        <v>18174977.699999999</v>
      </c>
      <c r="E54" s="105">
        <v>0</v>
      </c>
      <c r="F54" s="392">
        <f t="shared" si="0"/>
        <v>18174977.699999999</v>
      </c>
    </row>
    <row r="55" spans="2:6" ht="14.25">
      <c r="B55" s="377"/>
      <c r="C55" s="608" t="s">
        <v>375</v>
      </c>
      <c r="D55" s="105">
        <v>4496285.01</v>
      </c>
      <c r="E55" s="105">
        <v>2800871.97</v>
      </c>
      <c r="F55" s="392">
        <f t="shared" si="0"/>
        <v>1695413.0399999996</v>
      </c>
    </row>
    <row r="56" spans="2:6" ht="15">
      <c r="B56" s="377"/>
      <c r="C56" s="603" t="s">
        <v>172</v>
      </c>
      <c r="D56" s="107">
        <f>SUM(D57:D62)</f>
        <v>19589204.57</v>
      </c>
      <c r="E56" s="107">
        <f>SUM(E57:E62)</f>
        <v>6133373.1799999988</v>
      </c>
      <c r="F56" s="391">
        <f>SUM(F57:F62)</f>
        <v>13455831.390000001</v>
      </c>
    </row>
    <row r="57" spans="2:6" ht="14.25">
      <c r="B57" s="377"/>
      <c r="C57" s="604" t="s">
        <v>376</v>
      </c>
      <c r="D57" s="105">
        <v>2005655.08</v>
      </c>
      <c r="E57" s="105">
        <v>1134783.03</v>
      </c>
      <c r="F57" s="392">
        <f t="shared" ref="F57:F62" si="1">+D57-E57</f>
        <v>870872.05</v>
      </c>
    </row>
    <row r="58" spans="2:6" ht="14.25">
      <c r="B58" s="377"/>
      <c r="C58" s="604" t="s">
        <v>377</v>
      </c>
      <c r="D58" s="105">
        <v>2763815.47</v>
      </c>
      <c r="E58" s="105">
        <v>343456.31</v>
      </c>
      <c r="F58" s="392">
        <f t="shared" si="1"/>
        <v>2420359.16</v>
      </c>
    </row>
    <row r="59" spans="2:6" ht="14.25">
      <c r="B59" s="377"/>
      <c r="C59" s="604" t="s">
        <v>378</v>
      </c>
      <c r="D59" s="105">
        <v>4255962.9800000004</v>
      </c>
      <c r="E59" s="105">
        <v>2214872.5099999998</v>
      </c>
      <c r="F59" s="392">
        <f t="shared" si="1"/>
        <v>2041090.4700000007</v>
      </c>
    </row>
    <row r="60" spans="2:6" ht="14.25">
      <c r="B60" s="377"/>
      <c r="C60" s="604" t="s">
        <v>379</v>
      </c>
      <c r="D60" s="105">
        <v>3451704.49</v>
      </c>
      <c r="E60" s="105">
        <v>1745717.26</v>
      </c>
      <c r="F60" s="392">
        <f t="shared" si="1"/>
        <v>1705987.2300000002</v>
      </c>
    </row>
    <row r="61" spans="2:6" ht="14.25">
      <c r="B61" s="377"/>
      <c r="C61" s="604" t="s">
        <v>380</v>
      </c>
      <c r="D61" s="105">
        <v>978532.96</v>
      </c>
      <c r="E61" s="105">
        <v>107702.85</v>
      </c>
      <c r="F61" s="392">
        <f t="shared" si="1"/>
        <v>870830.11</v>
      </c>
    </row>
    <row r="62" spans="2:6" ht="14.25">
      <c r="B62" s="377"/>
      <c r="C62" s="609" t="s">
        <v>748</v>
      </c>
      <c r="D62" s="105">
        <f>155866.59+5977667</f>
        <v>6133533.5899999999</v>
      </c>
      <c r="E62" s="105">
        <f>742.22+586099</f>
        <v>586841.22</v>
      </c>
      <c r="F62" s="392">
        <f t="shared" si="1"/>
        <v>5546692.3700000001</v>
      </c>
    </row>
    <row r="63" spans="2:6" ht="15">
      <c r="B63" s="377"/>
      <c r="C63" s="610" t="s">
        <v>171</v>
      </c>
      <c r="D63" s="394">
        <f>+D64+D74+D80</f>
        <v>112096836.97802885</v>
      </c>
      <c r="E63" s="394">
        <f>+E64+E74+E80</f>
        <v>44083003.099999994</v>
      </c>
      <c r="F63" s="395">
        <f>+F64+F74+F80</f>
        <v>68013833.878028855</v>
      </c>
    </row>
    <row r="64" spans="2:6" ht="15">
      <c r="B64" s="377"/>
      <c r="C64" s="603" t="s">
        <v>181</v>
      </c>
      <c r="D64" s="107">
        <f>SUM(D65:D73)</f>
        <v>96681630.080411747</v>
      </c>
      <c r="E64" s="107">
        <f>SUM(E65:E73)</f>
        <v>38515896.449999996</v>
      </c>
      <c r="F64" s="391">
        <f>SUM(F65:F73)</f>
        <v>58165733.630411752</v>
      </c>
    </row>
    <row r="65" spans="2:6" ht="14.25">
      <c r="B65" s="377"/>
      <c r="C65" s="606" t="s">
        <v>381</v>
      </c>
      <c r="D65" s="105">
        <v>7736974.5035093203</v>
      </c>
      <c r="E65" s="105">
        <v>4257742.8</v>
      </c>
      <c r="F65" s="392">
        <f t="shared" ref="F65:F73" si="2">+D65-E65</f>
        <v>3479231.7035093205</v>
      </c>
    </row>
    <row r="66" spans="2:6" ht="14.25">
      <c r="B66" s="377"/>
      <c r="C66" s="606" t="s">
        <v>382</v>
      </c>
      <c r="D66" s="105">
        <v>5432496.363913835</v>
      </c>
      <c r="E66" s="105">
        <v>995017.38</v>
      </c>
      <c r="F66" s="392">
        <f t="shared" si="2"/>
        <v>4437478.9839138351</v>
      </c>
    </row>
    <row r="67" spans="2:6" ht="14.25">
      <c r="B67" s="377"/>
      <c r="C67" s="606" t="s">
        <v>383</v>
      </c>
      <c r="D67" s="105">
        <v>17399548.765964899</v>
      </c>
      <c r="E67" s="105">
        <v>5475896.3400000082</v>
      </c>
      <c r="F67" s="392">
        <f t="shared" si="2"/>
        <v>11923652.425964892</v>
      </c>
    </row>
    <row r="68" spans="2:6" ht="14.25">
      <c r="B68" s="377"/>
      <c r="C68" s="606" t="s">
        <v>384</v>
      </c>
      <c r="D68" s="105">
        <v>16324678.662738463</v>
      </c>
      <c r="E68" s="105">
        <v>8546722.1799999923</v>
      </c>
      <c r="F68" s="392">
        <f t="shared" si="2"/>
        <v>7777956.4827384707</v>
      </c>
    </row>
    <row r="69" spans="2:6" ht="14.25">
      <c r="B69" s="377"/>
      <c r="C69" s="606" t="s">
        <v>385</v>
      </c>
      <c r="D69" s="105">
        <v>21036972.879587855</v>
      </c>
      <c r="E69" s="105">
        <v>12338060.299999997</v>
      </c>
      <c r="F69" s="392">
        <f t="shared" si="2"/>
        <v>8698912.5795878582</v>
      </c>
    </row>
    <row r="70" spans="2:6" ht="14.25">
      <c r="B70" s="377"/>
      <c r="C70" s="606" t="s">
        <v>386</v>
      </c>
      <c r="D70" s="105">
        <v>10578347.227096308</v>
      </c>
      <c r="E70" s="105">
        <v>2743257.72</v>
      </c>
      <c r="F70" s="392">
        <f t="shared" si="2"/>
        <v>7835089.5070963074</v>
      </c>
    </row>
    <row r="71" spans="2:6" ht="14.25">
      <c r="B71" s="377"/>
      <c r="C71" s="606" t="s">
        <v>387</v>
      </c>
      <c r="D71" s="105">
        <v>5027347.4129325487</v>
      </c>
      <c r="E71" s="105">
        <v>2214757.9700000002</v>
      </c>
      <c r="F71" s="392">
        <f t="shared" si="2"/>
        <v>2812589.4429325485</v>
      </c>
    </row>
    <row r="72" spans="2:6" ht="14.25">
      <c r="B72" s="377"/>
      <c r="C72" s="606" t="s">
        <v>388</v>
      </c>
      <c r="D72" s="105">
        <v>10974114.913370315</v>
      </c>
      <c r="E72" s="105">
        <v>1944441.76</v>
      </c>
      <c r="F72" s="392">
        <f t="shared" si="2"/>
        <v>9029673.1533703152</v>
      </c>
    </row>
    <row r="73" spans="2:6" ht="14.25">
      <c r="B73" s="377"/>
      <c r="C73" s="606" t="s">
        <v>389</v>
      </c>
      <c r="D73" s="105">
        <v>2171149.351298213</v>
      </c>
      <c r="E73" s="105">
        <v>0</v>
      </c>
      <c r="F73" s="392">
        <f t="shared" si="2"/>
        <v>2171149.351298213</v>
      </c>
    </row>
    <row r="74" spans="2:6" ht="15">
      <c r="B74" s="377"/>
      <c r="C74" s="603" t="s">
        <v>190</v>
      </c>
      <c r="D74" s="107">
        <f>SUM(D75:D78)</f>
        <v>14867949.257617101</v>
      </c>
      <c r="E74" s="107">
        <f>SUM(E75:E78)</f>
        <v>5540835.0499999998</v>
      </c>
      <c r="F74" s="391">
        <f>SUM(F75:F78)</f>
        <v>9327114.2076171022</v>
      </c>
    </row>
    <row r="75" spans="2:6" ht="14.25">
      <c r="B75" s="377"/>
      <c r="C75" s="606" t="s">
        <v>390</v>
      </c>
      <c r="D75" s="105">
        <v>6508238.4171330901</v>
      </c>
      <c r="E75" s="105">
        <v>2886011.42</v>
      </c>
      <c r="F75" s="392">
        <f>+D75-E75</f>
        <v>3622226.9971330902</v>
      </c>
    </row>
    <row r="76" spans="2:6" ht="14.25">
      <c r="B76" s="377"/>
      <c r="C76" s="606" t="s">
        <v>392</v>
      </c>
      <c r="D76" s="105">
        <v>3485740.3095869995</v>
      </c>
      <c r="E76" s="105">
        <v>2081384.77</v>
      </c>
      <c r="F76" s="392">
        <f>+D76-E76</f>
        <v>1404355.5395869995</v>
      </c>
    </row>
    <row r="77" spans="2:6" ht="14.25">
      <c r="B77" s="377"/>
      <c r="C77" s="606" t="s">
        <v>393</v>
      </c>
      <c r="D77" s="105">
        <v>1125974.3732369323</v>
      </c>
      <c r="E77" s="105">
        <v>4609.4799999999996</v>
      </c>
      <c r="F77" s="392">
        <f>+D77-E77</f>
        <v>1121364.8932369323</v>
      </c>
    </row>
    <row r="78" spans="2:6" ht="14.25">
      <c r="B78" s="377"/>
      <c r="C78" s="606" t="s">
        <v>394</v>
      </c>
      <c r="D78" s="105">
        <v>3747996.1576600801</v>
      </c>
      <c r="E78" s="105">
        <v>568829.38</v>
      </c>
      <c r="F78" s="392">
        <f>+D78-E78</f>
        <v>3179166.7776600802</v>
      </c>
    </row>
    <row r="79" spans="2:6" ht="14.25">
      <c r="B79" s="377"/>
      <c r="C79" s="603" t="s">
        <v>176</v>
      </c>
      <c r="D79" s="396"/>
      <c r="E79" s="397"/>
      <c r="F79" s="392"/>
    </row>
    <row r="80" spans="2:6" ht="15">
      <c r="B80" s="377"/>
      <c r="C80" s="611" t="s">
        <v>355</v>
      </c>
      <c r="D80" s="612">
        <f>+[3]Hoja4!C73+[3]Hoja8!J30</f>
        <v>547257.64</v>
      </c>
      <c r="E80" s="612">
        <f>+[3]Hoja4!D73</f>
        <v>26271.599999999999</v>
      </c>
      <c r="F80" s="613">
        <f>+D80-E80</f>
        <v>520986.04000000004</v>
      </c>
    </row>
    <row r="81" spans="2:7" s="32" customFormat="1" ht="14.25" customHeight="1">
      <c r="B81" s="398"/>
      <c r="C81" s="399"/>
      <c r="D81" s="400"/>
      <c r="E81" s="400"/>
      <c r="F81" s="401"/>
      <c r="G81" s="417"/>
    </row>
    <row r="82" spans="2:7" s="32" customFormat="1" ht="15.75">
      <c r="B82" s="386"/>
      <c r="C82" s="402" t="s">
        <v>83</v>
      </c>
      <c r="D82" s="403">
        <f>SUM(D83:D91)</f>
        <v>29278382.760000031</v>
      </c>
      <c r="E82" s="404">
        <f>SUM(E83:E91)</f>
        <v>21015850.730000015</v>
      </c>
      <c r="F82" s="403">
        <f>SUM(F83:F91)</f>
        <v>8262532.0300000086</v>
      </c>
      <c r="G82" s="417"/>
    </row>
    <row r="83" spans="2:7" s="32" customFormat="1" ht="14.25">
      <c r="B83" s="405"/>
      <c r="C83" s="378" t="s">
        <v>55</v>
      </c>
      <c r="D83" s="105">
        <v>2479685.0299999998</v>
      </c>
      <c r="E83" s="106">
        <v>1213827.76</v>
      </c>
      <c r="F83" s="109">
        <f t="shared" ref="F83:F91" si="3">+D83-E83</f>
        <v>1265857.2699999998</v>
      </c>
      <c r="G83" s="417"/>
    </row>
    <row r="84" spans="2:7" ht="14.25">
      <c r="B84" s="406"/>
      <c r="C84" s="378" t="s">
        <v>395</v>
      </c>
      <c r="D84" s="105">
        <v>10671573.210000042</v>
      </c>
      <c r="E84" s="106">
        <v>7416234.9900000235</v>
      </c>
      <c r="F84" s="109">
        <f t="shared" si="3"/>
        <v>3255338.2200000184</v>
      </c>
    </row>
    <row r="85" spans="2:7" ht="14.25">
      <c r="B85" s="406"/>
      <c r="C85" s="378" t="s">
        <v>396</v>
      </c>
      <c r="D85" s="105">
        <v>6748574.2699999856</v>
      </c>
      <c r="E85" s="106">
        <v>5704099.8999999939</v>
      </c>
      <c r="F85" s="109">
        <f t="shared" si="3"/>
        <v>1044474.3699999917</v>
      </c>
    </row>
    <row r="86" spans="2:7" ht="14.25">
      <c r="B86" s="406"/>
      <c r="C86" s="378" t="s">
        <v>397</v>
      </c>
      <c r="D86" s="105">
        <v>1362026.47</v>
      </c>
      <c r="E86" s="106">
        <v>1244326.54</v>
      </c>
      <c r="F86" s="109">
        <f t="shared" si="3"/>
        <v>117699.92999999993</v>
      </c>
    </row>
    <row r="87" spans="2:7" ht="14.25">
      <c r="B87" s="406"/>
      <c r="C87" s="378" t="s">
        <v>398</v>
      </c>
      <c r="D87" s="105">
        <v>4685820.55</v>
      </c>
      <c r="E87" s="106">
        <v>3940415.9</v>
      </c>
      <c r="F87" s="109">
        <f t="shared" si="3"/>
        <v>745404.64999999991</v>
      </c>
    </row>
    <row r="88" spans="2:7" ht="14.25">
      <c r="B88" s="406"/>
      <c r="C88" s="378" t="s">
        <v>399</v>
      </c>
      <c r="D88" s="105">
        <v>263541.09999999998</v>
      </c>
      <c r="E88" s="106">
        <v>66015.16</v>
      </c>
      <c r="F88" s="109">
        <f t="shared" si="3"/>
        <v>197525.93999999997</v>
      </c>
    </row>
    <row r="89" spans="2:7" ht="14.25">
      <c r="B89" s="406"/>
      <c r="C89" s="378" t="s">
        <v>400</v>
      </c>
      <c r="D89" s="105">
        <v>6516.28</v>
      </c>
      <c r="E89" s="106">
        <v>1432.98</v>
      </c>
      <c r="F89" s="109">
        <f t="shared" si="3"/>
        <v>5083.2999999999993</v>
      </c>
    </row>
    <row r="90" spans="2:7" ht="14.25">
      <c r="B90" s="406"/>
      <c r="C90" s="378" t="s">
        <v>401</v>
      </c>
      <c r="D90" s="105">
        <v>2503091.2599999998</v>
      </c>
      <c r="E90" s="106">
        <v>1429497.5</v>
      </c>
      <c r="F90" s="109">
        <f t="shared" si="3"/>
        <v>1073593.7599999998</v>
      </c>
    </row>
    <row r="91" spans="2:7" ht="14.25">
      <c r="B91" s="406"/>
      <c r="C91" s="378" t="s">
        <v>402</v>
      </c>
      <c r="D91" s="105">
        <v>557554.59</v>
      </c>
      <c r="E91" s="106">
        <v>0</v>
      </c>
      <c r="F91" s="109">
        <f t="shared" si="3"/>
        <v>557554.59</v>
      </c>
    </row>
    <row r="92" spans="2:7" s="32" customFormat="1" ht="15">
      <c r="B92" s="407"/>
      <c r="C92" s="408"/>
      <c r="D92" s="110"/>
      <c r="E92" s="111"/>
      <c r="F92" s="110"/>
      <c r="G92" s="417"/>
    </row>
    <row r="93" spans="2:7" ht="15.75">
      <c r="B93" s="386"/>
      <c r="C93" s="402" t="s">
        <v>403</v>
      </c>
      <c r="D93" s="387">
        <f>SUM(D94:D101)</f>
        <v>4770993.580000001</v>
      </c>
      <c r="E93" s="404">
        <f>SUM(E94:E101)</f>
        <v>2336926.2800000003</v>
      </c>
      <c r="F93" s="387">
        <f>SUM(F94:F101)</f>
        <v>2434067.3000000003</v>
      </c>
    </row>
    <row r="94" spans="2:7" ht="14.25">
      <c r="B94" s="405"/>
      <c r="C94" s="378" t="s">
        <v>395</v>
      </c>
      <c r="D94" s="105">
        <v>651</v>
      </c>
      <c r="E94" s="106">
        <v>405.7</v>
      </c>
      <c r="F94" s="109">
        <f t="shared" ref="F94:F101" si="4">+D94-E94</f>
        <v>245.3</v>
      </c>
    </row>
    <row r="95" spans="2:7" ht="14.25">
      <c r="B95" s="405"/>
      <c r="C95" s="378" t="s">
        <v>404</v>
      </c>
      <c r="D95" s="105">
        <v>745255.2500000007</v>
      </c>
      <c r="E95" s="106">
        <v>447882.28</v>
      </c>
      <c r="F95" s="109">
        <f t="shared" si="4"/>
        <v>297372.97000000067</v>
      </c>
    </row>
    <row r="96" spans="2:7" ht="14.25">
      <c r="B96" s="405"/>
      <c r="C96" s="378" t="s">
        <v>396</v>
      </c>
      <c r="D96" s="105">
        <v>835994.68</v>
      </c>
      <c r="E96" s="106">
        <v>88914.55</v>
      </c>
      <c r="F96" s="109">
        <f t="shared" si="4"/>
        <v>747080.13</v>
      </c>
    </row>
    <row r="97" spans="2:6" ht="14.25">
      <c r="B97" s="405"/>
      <c r="C97" s="378" t="s">
        <v>398</v>
      </c>
      <c r="D97" s="105">
        <v>364933.98</v>
      </c>
      <c r="E97" s="106">
        <v>190371.21</v>
      </c>
      <c r="F97" s="109">
        <f t="shared" si="4"/>
        <v>174562.77</v>
      </c>
    </row>
    <row r="98" spans="2:6" ht="14.25">
      <c r="B98" s="405"/>
      <c r="C98" s="378" t="s">
        <v>399</v>
      </c>
      <c r="D98" s="105">
        <v>9464.1299999999992</v>
      </c>
      <c r="E98" s="106">
        <v>7736.61</v>
      </c>
      <c r="F98" s="109">
        <f t="shared" si="4"/>
        <v>1727.5199999999995</v>
      </c>
    </row>
    <row r="99" spans="2:6" ht="14.25">
      <c r="B99" s="405"/>
      <c r="C99" s="378" t="s">
        <v>401</v>
      </c>
      <c r="D99" s="105">
        <v>248925.72</v>
      </c>
      <c r="E99" s="106">
        <v>141547.51999999999</v>
      </c>
      <c r="F99" s="109">
        <f t="shared" si="4"/>
        <v>107378.20000000001</v>
      </c>
    </row>
    <row r="100" spans="2:6" ht="14.25">
      <c r="B100" s="405"/>
      <c r="C100" s="378" t="s">
        <v>405</v>
      </c>
      <c r="D100" s="105">
        <v>1490679.91</v>
      </c>
      <c r="E100" s="106">
        <v>1157770.31</v>
      </c>
      <c r="F100" s="109">
        <f t="shared" si="4"/>
        <v>332909.59999999986</v>
      </c>
    </row>
    <row r="101" spans="2:6" ht="14.25">
      <c r="B101" s="405"/>
      <c r="C101" s="378" t="s">
        <v>406</v>
      </c>
      <c r="D101" s="105">
        <v>1075088.9099999999</v>
      </c>
      <c r="E101" s="106">
        <v>302298.09999999998</v>
      </c>
      <c r="F101" s="109">
        <f t="shared" si="4"/>
        <v>772790.80999999994</v>
      </c>
    </row>
    <row r="102" spans="2:6">
      <c r="B102" s="372"/>
      <c r="D102" s="409"/>
      <c r="F102" s="409"/>
    </row>
    <row r="103" spans="2:6" ht="15.75">
      <c r="B103" s="386"/>
      <c r="C103" s="402" t="s">
        <v>53</v>
      </c>
      <c r="D103" s="387">
        <f>SUM(D104:D110)</f>
        <v>7307322.4800000004</v>
      </c>
      <c r="E103" s="404">
        <f>SUM(E104:E110)</f>
        <v>6518846.5699999994</v>
      </c>
      <c r="F103" s="387">
        <f>SUM(F104:F110)</f>
        <v>788475.91000000015</v>
      </c>
    </row>
    <row r="104" spans="2:6" ht="14.25">
      <c r="B104" s="377"/>
      <c r="C104" s="378" t="s">
        <v>55</v>
      </c>
      <c r="D104" s="105">
        <v>1379280.94</v>
      </c>
      <c r="E104" s="106">
        <v>973265.96</v>
      </c>
      <c r="F104" s="367">
        <f t="shared" ref="F104:F110" si="5">+D104-E104</f>
        <v>406014.98</v>
      </c>
    </row>
    <row r="105" spans="2:6" ht="14.25">
      <c r="B105" s="377"/>
      <c r="C105" s="378" t="s">
        <v>395</v>
      </c>
      <c r="D105" s="105">
        <v>528690.34</v>
      </c>
      <c r="E105" s="106">
        <v>526283.82999999996</v>
      </c>
      <c r="F105" s="367">
        <f t="shared" si="5"/>
        <v>2406.5100000000093</v>
      </c>
    </row>
    <row r="106" spans="2:6" ht="14.25">
      <c r="B106" s="377"/>
      <c r="C106" s="378" t="s">
        <v>396</v>
      </c>
      <c r="D106" s="105">
        <v>5021351.97</v>
      </c>
      <c r="E106" s="106">
        <v>4832592.68</v>
      </c>
      <c r="F106" s="367">
        <f t="shared" si="5"/>
        <v>188759.29000000004</v>
      </c>
    </row>
    <row r="107" spans="2:6" ht="14.25">
      <c r="B107" s="377"/>
      <c r="C107" s="378" t="s">
        <v>398</v>
      </c>
      <c r="D107" s="105">
        <v>73181</v>
      </c>
      <c r="E107" s="106">
        <v>53016.85</v>
      </c>
      <c r="F107" s="367">
        <f t="shared" si="5"/>
        <v>20164.150000000001</v>
      </c>
    </row>
    <row r="108" spans="2:6" ht="14.25">
      <c r="B108" s="377"/>
      <c r="C108" s="378" t="s">
        <v>407</v>
      </c>
      <c r="D108" s="105">
        <v>129178.45</v>
      </c>
      <c r="E108" s="106">
        <v>12015.41</v>
      </c>
      <c r="F108" s="367">
        <f t="shared" si="5"/>
        <v>117163.04</v>
      </c>
    </row>
    <row r="109" spans="2:6" ht="14.25">
      <c r="B109" s="377"/>
      <c r="C109" s="378" t="s">
        <v>399</v>
      </c>
      <c r="D109" s="105">
        <v>5003.82</v>
      </c>
      <c r="E109" s="106">
        <v>4142.6400000000003</v>
      </c>
      <c r="F109" s="367">
        <f t="shared" si="5"/>
        <v>861.17999999999938</v>
      </c>
    </row>
    <row r="110" spans="2:6" ht="14.25">
      <c r="B110" s="377"/>
      <c r="C110" s="378" t="s">
        <v>401</v>
      </c>
      <c r="D110" s="105">
        <v>170635.96</v>
      </c>
      <c r="E110" s="106">
        <v>117529.2</v>
      </c>
      <c r="F110" s="367">
        <f t="shared" si="5"/>
        <v>53106.759999999995</v>
      </c>
    </row>
    <row r="111" spans="2:6">
      <c r="B111" s="372"/>
      <c r="D111" s="409"/>
      <c r="F111" s="409"/>
    </row>
    <row r="112" spans="2:6" ht="15.75">
      <c r="B112" s="410"/>
      <c r="C112" s="402" t="s">
        <v>195</v>
      </c>
      <c r="D112" s="387"/>
      <c r="E112" s="404"/>
      <c r="F112" s="387"/>
    </row>
    <row r="113" spans="2:7" ht="14.25">
      <c r="B113" s="377"/>
      <c r="C113" s="378" t="s">
        <v>55</v>
      </c>
      <c r="D113" s="105">
        <v>6366084.5300000003</v>
      </c>
      <c r="E113" s="106">
        <v>4089823.86</v>
      </c>
      <c r="F113" s="367">
        <f>+D113-E113</f>
        <v>2276260.6700000004</v>
      </c>
    </row>
    <row r="114" spans="2:7" ht="18">
      <c r="B114" s="411"/>
      <c r="C114" s="412" t="s">
        <v>16</v>
      </c>
      <c r="D114" s="413">
        <f>+D21+D39+D82+D93+D103+D113</f>
        <v>369558111.39999968</v>
      </c>
      <c r="E114" s="414">
        <f>+E21+E39+E82+E93+E103+E113</f>
        <v>147033366.54999989</v>
      </c>
      <c r="F114" s="413">
        <f>+F21+F39+F82+F93+F103+F113</f>
        <v>222524744.8499999</v>
      </c>
    </row>
    <row r="116" spans="2:7">
      <c r="D116" s="415"/>
    </row>
    <row r="117" spans="2:7">
      <c r="B117" s="4" t="s">
        <v>408</v>
      </c>
      <c r="F117" s="416"/>
    </row>
    <row r="118" spans="2:7">
      <c r="D118" s="415"/>
      <c r="F118" s="416"/>
    </row>
    <row r="119" spans="2:7">
      <c r="F119" s="416"/>
    </row>
    <row r="120" spans="2:7" s="312" customFormat="1">
      <c r="G120" s="421"/>
    </row>
  </sheetData>
  <sheetProtection password="CC27" sheet="1" formatCells="0" formatColumns="0" formatRows="0" insertColumns="0" insertRows="0" insertHyperlinks="0" deleteColumns="0" deleteRows="0" sort="0" autoFilter="0" pivotTables="0"/>
  <mergeCells count="5">
    <mergeCell ref="B20:F20"/>
    <mergeCell ref="B2:F2"/>
    <mergeCell ref="B3:F3"/>
    <mergeCell ref="B4:F4"/>
    <mergeCell ref="B5:F5"/>
  </mergeCells>
  <phoneticPr fontId="0" type="noConversion"/>
  <printOptions horizontalCentered="1" verticalCentered="1"/>
  <pageMargins left="0.75" right="0.75" top="1" bottom="1" header="0" footer="0"/>
  <pageSetup scale="65" orientation="portrait" r:id="rId1"/>
  <headerFooter alignWithMargins="0">
    <oddFooter>&amp;C IMP ETESA&amp;R&amp;P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F31"/>
  <sheetViews>
    <sheetView zoomScale="75" workbookViewId="0">
      <selection activeCell="F12" sqref="F12"/>
    </sheetView>
  </sheetViews>
  <sheetFormatPr baseColWidth="10" defaultRowHeight="14.25"/>
  <cols>
    <col min="1" max="1" width="40" style="123" customWidth="1"/>
    <col min="2" max="2" width="14.140625" style="123" customWidth="1"/>
    <col min="3" max="3" width="22.28515625" style="123" customWidth="1"/>
    <col min="4" max="4" width="16" style="123" customWidth="1"/>
    <col min="5" max="5" width="14" style="123" customWidth="1"/>
    <col min="6" max="6" width="8" style="124" customWidth="1"/>
    <col min="7" max="7" width="13.85546875" style="123" bestFit="1" customWidth="1"/>
    <col min="8" max="16384" width="11.42578125" style="123"/>
  </cols>
  <sheetData>
    <row r="2" spans="1:6" ht="15">
      <c r="A2" s="122" t="s">
        <v>412</v>
      </c>
    </row>
    <row r="3" spans="1:6" ht="15">
      <c r="A3" s="1121">
        <v>2007</v>
      </c>
      <c r="B3" s="1121"/>
      <c r="C3" s="1121"/>
      <c r="D3" s="1121"/>
    </row>
    <row r="4" spans="1:6" ht="67.5" customHeight="1">
      <c r="A4" s="496" t="s">
        <v>413</v>
      </c>
      <c r="B4" s="496" t="s">
        <v>418</v>
      </c>
      <c r="C4" s="496" t="s">
        <v>419</v>
      </c>
      <c r="D4" s="496" t="s">
        <v>416</v>
      </c>
      <c r="E4" s="496" t="s">
        <v>415</v>
      </c>
      <c r="F4" s="498"/>
    </row>
    <row r="5" spans="1:6">
      <c r="A5" s="497" t="s">
        <v>414</v>
      </c>
      <c r="B5" s="499">
        <f>+'EVOLUCIÓN BIENES'!F53</f>
        <v>261611970</v>
      </c>
      <c r="C5" s="499">
        <v>8175144</v>
      </c>
      <c r="D5" s="500">
        <f>+C5/B5</f>
        <v>3.1249120596431423E-2</v>
      </c>
      <c r="E5" s="499">
        <f>+'EVOLUCIÓN BIENES'!F68</f>
        <v>261271299</v>
      </c>
      <c r="F5" s="501">
        <f>+C5/E5</f>
        <v>3.1289866247421229E-2</v>
      </c>
    </row>
    <row r="6" spans="1:6">
      <c r="A6" s="497" t="s">
        <v>36</v>
      </c>
      <c r="B6" s="499">
        <f>+'EVOLUCIÓN BIENES'!F52</f>
        <v>29400126</v>
      </c>
      <c r="C6" s="499">
        <v>964343</v>
      </c>
      <c r="D6" s="500">
        <f>+C6/B6</f>
        <v>3.2800641738746292E-2</v>
      </c>
      <c r="E6" s="499">
        <f>+'EVOLUCIÓN BIENES'!F67</f>
        <v>29415653</v>
      </c>
      <c r="F6" s="501">
        <f>+C6/E6</f>
        <v>3.2783327978474587E-2</v>
      </c>
    </row>
    <row r="7" spans="1:6" ht="15" hidden="1">
      <c r="A7" s="502" t="s">
        <v>85</v>
      </c>
      <c r="B7" s="499">
        <f>+B6+B5</f>
        <v>291012096</v>
      </c>
      <c r="C7" s="499">
        <f>+C6+C5</f>
        <v>9139487</v>
      </c>
      <c r="D7" s="500">
        <f>+C7/B7</f>
        <v>3.1405866373334528E-2</v>
      </c>
      <c r="E7" s="499">
        <f>+E6+E5</f>
        <v>290686952</v>
      </c>
      <c r="F7" s="498"/>
    </row>
    <row r="8" spans="1:6" hidden="1">
      <c r="A8" s="497" t="s">
        <v>417</v>
      </c>
      <c r="B8" s="497"/>
      <c r="C8" s="497"/>
      <c r="D8" s="503"/>
      <c r="E8" s="497"/>
      <c r="F8" s="504"/>
    </row>
    <row r="9" spans="1:6" hidden="1">
      <c r="A9" s="497"/>
      <c r="B9" s="497"/>
      <c r="C9" s="497"/>
      <c r="D9" s="503"/>
      <c r="E9" s="497"/>
      <c r="F9" s="498"/>
    </row>
    <row r="10" spans="1:6" ht="15">
      <c r="A10" s="1122">
        <v>2006</v>
      </c>
      <c r="B10" s="1122"/>
      <c r="C10" s="1122"/>
      <c r="D10" s="1122"/>
      <c r="E10" s="497"/>
      <c r="F10" s="498"/>
    </row>
    <row r="11" spans="1:6" ht="60">
      <c r="A11" s="496" t="s">
        <v>413</v>
      </c>
      <c r="B11" s="496" t="s">
        <v>421</v>
      </c>
      <c r="C11" s="496" t="s">
        <v>422</v>
      </c>
      <c r="D11" s="505" t="s">
        <v>416</v>
      </c>
      <c r="E11" s="497"/>
      <c r="F11" s="498"/>
    </row>
    <row r="12" spans="1:6">
      <c r="A12" s="497" t="s">
        <v>414</v>
      </c>
      <c r="B12" s="499">
        <f>+'EVOLUCIÓN BIENES'!F29</f>
        <v>203956106</v>
      </c>
      <c r="C12" s="499">
        <v>7607302</v>
      </c>
      <c r="D12" s="500">
        <f>+C12/B12</f>
        <v>3.7298721520011763E-2</v>
      </c>
      <c r="E12" s="499">
        <f>+B5</f>
        <v>261611970</v>
      </c>
      <c r="F12" s="501">
        <f>+C12/E12</f>
        <v>2.9078570066958329E-2</v>
      </c>
    </row>
    <row r="13" spans="1:6">
      <c r="A13" s="497" t="s">
        <v>36</v>
      </c>
      <c r="B13" s="499">
        <f>+'EVOLUCIÓN BIENES'!F28</f>
        <v>29603423</v>
      </c>
      <c r="C13" s="499">
        <v>916632</v>
      </c>
      <c r="D13" s="500">
        <f>+C13/B13</f>
        <v>3.0963716594530302E-2</v>
      </c>
      <c r="E13" s="499">
        <f>+B6</f>
        <v>29400126</v>
      </c>
      <c r="F13" s="501">
        <f>+C13/E13</f>
        <v>3.1177825564421051E-2</v>
      </c>
    </row>
    <row r="14" spans="1:6" ht="15" hidden="1">
      <c r="A14" s="502" t="s">
        <v>85</v>
      </c>
      <c r="B14" s="499">
        <f>+B13+B12</f>
        <v>233559529</v>
      </c>
      <c r="C14" s="499">
        <f>+C13+C12</f>
        <v>8523934</v>
      </c>
      <c r="D14" s="500">
        <f>+C14/B14</f>
        <v>3.6495766353425038E-2</v>
      </c>
      <c r="E14" s="499">
        <f>+B7</f>
        <v>291012096</v>
      </c>
      <c r="F14" s="498"/>
    </row>
    <row r="15" spans="1:6" hidden="1">
      <c r="A15" s="497" t="s">
        <v>420</v>
      </c>
      <c r="B15" s="497"/>
      <c r="C15" s="497"/>
      <c r="D15" s="503"/>
      <c r="E15" s="497"/>
      <c r="F15" s="498"/>
    </row>
    <row r="16" spans="1:6" ht="15">
      <c r="A16" s="1122">
        <v>2005</v>
      </c>
      <c r="B16" s="1122"/>
      <c r="C16" s="1122"/>
      <c r="D16" s="1122"/>
      <c r="E16" s="497"/>
      <c r="F16" s="498"/>
    </row>
    <row r="17" spans="1:6" ht="60">
      <c r="A17" s="496" t="s">
        <v>413</v>
      </c>
      <c r="B17" s="496" t="s">
        <v>423</v>
      </c>
      <c r="C17" s="496" t="s">
        <v>424</v>
      </c>
      <c r="D17" s="505" t="s">
        <v>416</v>
      </c>
      <c r="E17" s="497"/>
      <c r="F17" s="498"/>
    </row>
    <row r="18" spans="1:6">
      <c r="A18" s="497" t="s">
        <v>414</v>
      </c>
      <c r="B18" s="499">
        <f>+'EVOLUCIÓN BIENES'!C8</f>
        <v>206512417</v>
      </c>
      <c r="C18" s="499">
        <v>5405642</v>
      </c>
      <c r="D18" s="500">
        <f>+C18/B18</f>
        <v>2.6175869124615399E-2</v>
      </c>
      <c r="E18" s="499">
        <f>+B12</f>
        <v>203956106</v>
      </c>
      <c r="F18" s="501">
        <f>+C18/E18</f>
        <v>2.6503947864154654E-2</v>
      </c>
    </row>
    <row r="19" spans="1:6">
      <c r="A19" s="497" t="s">
        <v>36</v>
      </c>
      <c r="B19" s="499">
        <f>+'EVOLUCIÓN BIENES'!C7</f>
        <v>29320498</v>
      </c>
      <c r="C19" s="499">
        <v>391222</v>
      </c>
      <c r="D19" s="500">
        <f>+C19/B19</f>
        <v>1.3342952087648716E-2</v>
      </c>
      <c r="E19" s="499">
        <f>+B13</f>
        <v>29603423</v>
      </c>
      <c r="F19" s="501">
        <f>+C19/E19</f>
        <v>1.3215431201993094E-2</v>
      </c>
    </row>
    <row r="20" spans="1:6" ht="15" hidden="1">
      <c r="A20" s="502" t="s">
        <v>85</v>
      </c>
      <c r="B20" s="499">
        <f>+B19+B18</f>
        <v>235832915</v>
      </c>
      <c r="C20" s="499">
        <f>+C19+C18</f>
        <v>5796864</v>
      </c>
      <c r="D20" s="504">
        <f>+C20/B20</f>
        <v>2.4580385651426138E-2</v>
      </c>
      <c r="E20" s="499">
        <f>+B14</f>
        <v>233559529</v>
      </c>
      <c r="F20" s="498"/>
    </row>
    <row r="21" spans="1:6" hidden="1">
      <c r="A21" s="497" t="s">
        <v>425</v>
      </c>
      <c r="B21" s="497"/>
      <c r="C21" s="497"/>
      <c r="D21" s="497"/>
      <c r="E21" s="497"/>
      <c r="F21" s="498"/>
    </row>
    <row r="22" spans="1:6" hidden="1">
      <c r="A22" s="497"/>
      <c r="B22" s="497"/>
      <c r="C22" s="497"/>
      <c r="D22" s="497"/>
      <c r="E22" s="497"/>
      <c r="F22" s="498"/>
    </row>
    <row r="23" spans="1:6" ht="15">
      <c r="A23" s="1122" t="s">
        <v>427</v>
      </c>
      <c r="B23" s="1122"/>
      <c r="C23" s="1122"/>
      <c r="D23" s="1122"/>
      <c r="E23" s="497"/>
      <c r="F23" s="498"/>
    </row>
    <row r="24" spans="1:6" hidden="1">
      <c r="A24" s="497"/>
      <c r="B24" s="497"/>
      <c r="C24" s="497"/>
      <c r="D24" s="497"/>
      <c r="E24" s="497"/>
      <c r="F24" s="498"/>
    </row>
    <row r="25" spans="1:6" ht="15">
      <c r="A25" s="506" t="s">
        <v>414</v>
      </c>
      <c r="B25" s="506"/>
      <c r="C25" s="506"/>
      <c r="D25" s="507">
        <f>+AVERAGE(D5,D12,D18)</f>
        <v>3.1574570413686193E-2</v>
      </c>
      <c r="E25" s="497"/>
      <c r="F25" s="498"/>
    </row>
    <row r="26" spans="1:6" ht="15">
      <c r="A26" s="506" t="s">
        <v>36</v>
      </c>
      <c r="B26" s="506"/>
      <c r="C26" s="506"/>
      <c r="D26" s="507">
        <f>+AVERAGE(D6,D13,D19)</f>
        <v>2.5702436806975103E-2</v>
      </c>
      <c r="E26" s="497"/>
      <c r="F26" s="498"/>
    </row>
    <row r="27" spans="1:6" ht="7.5" customHeight="1">
      <c r="A27" s="497"/>
      <c r="B27" s="497"/>
      <c r="C27" s="497"/>
      <c r="D27" s="497"/>
      <c r="E27" s="497"/>
      <c r="F27" s="498"/>
    </row>
    <row r="28" spans="1:6" ht="15">
      <c r="A28" s="131" t="s">
        <v>426</v>
      </c>
      <c r="B28" s="497"/>
      <c r="C28" s="497"/>
      <c r="D28" s="497"/>
      <c r="E28" s="497"/>
      <c r="F28" s="498"/>
    </row>
    <row r="29" spans="1:6">
      <c r="A29" s="497"/>
      <c r="B29" s="497"/>
      <c r="C29" s="497"/>
      <c r="D29" s="497"/>
      <c r="E29" s="497"/>
      <c r="F29" s="498"/>
    </row>
    <row r="30" spans="1:6" ht="15">
      <c r="A30" s="131" t="s">
        <v>414</v>
      </c>
      <c r="B30" s="499">
        <f>+B5+B12+B18</f>
        <v>672080493</v>
      </c>
      <c r="C30" s="499">
        <f>+C5+C12+C18</f>
        <v>21188088</v>
      </c>
      <c r="D30" s="508">
        <f>+C30/B30</f>
        <v>3.1526116619486531E-2</v>
      </c>
      <c r="E30" s="497"/>
      <c r="F30" s="498"/>
    </row>
    <row r="31" spans="1:6" ht="15">
      <c r="A31" s="131" t="s">
        <v>36</v>
      </c>
      <c r="B31" s="499">
        <f>+B6+B13+B19</f>
        <v>88324047</v>
      </c>
      <c r="C31" s="499">
        <f>+C6+C13+C19</f>
        <v>2272197</v>
      </c>
      <c r="D31" s="508">
        <f>+C31/B31</f>
        <v>2.5725689403702255E-2</v>
      </c>
      <c r="E31" s="497"/>
      <c r="F31" s="498"/>
    </row>
  </sheetData>
  <sheetProtection password="CC27" sheet="1" formatCells="0" formatColumns="0" formatRows="0" insertColumns="0" insertRows="0" insertHyperlinks="0" deleteColumns="0" deleteRows="0" sort="0" autoFilter="0" pivotTables="0"/>
  <mergeCells count="4">
    <mergeCell ref="A3:D3"/>
    <mergeCell ref="A10:D10"/>
    <mergeCell ref="A16:D16"/>
    <mergeCell ref="A23:D23"/>
  </mergeCells>
  <phoneticPr fontId="22" type="noConversion"/>
  <pageMargins left="0.75" right="0.75" top="1" bottom="1" header="0" footer="0"/>
  <pageSetup scale="95" orientation="landscape" horizontalDpi="1200" verticalDpi="1200" r:id="rId1"/>
  <headerFooter alignWithMargins="0">
    <oddHeader>&amp;RTASA DE DEPRECIACIÓN</oddHeader>
    <oddFooter>&amp;C IMP ETESA&amp;R&amp;P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2:BL117"/>
  <sheetViews>
    <sheetView zoomScale="75" workbookViewId="0">
      <pane xSplit="6" ySplit="5" topLeftCell="G92" activePane="bottomRight" state="frozen"/>
      <selection pane="topRight" activeCell="G1" sqref="G1"/>
      <selection pane="bottomLeft" activeCell="A6" sqref="A6"/>
      <selection pane="bottomRight" activeCell="J114" sqref="J114"/>
    </sheetView>
  </sheetViews>
  <sheetFormatPr baseColWidth="10" defaultRowHeight="12.75"/>
  <cols>
    <col min="1" max="1" width="8.42578125" customWidth="1"/>
    <col min="2" max="2" width="21.42578125" customWidth="1"/>
    <col min="3" max="3" width="11.7109375" customWidth="1"/>
    <col min="4" max="4" width="10.42578125" customWidth="1"/>
    <col min="5" max="5" width="13" style="21" customWidth="1"/>
    <col min="6" max="6" width="11.42578125" style="21"/>
    <col min="7" max="7" width="10.42578125" style="21" customWidth="1"/>
    <col min="8" max="8" width="11.7109375" style="21" customWidth="1"/>
    <col min="9" max="13" width="11.42578125" style="21"/>
    <col min="14" max="14" width="14" style="21" bestFit="1" customWidth="1"/>
    <col min="15" max="15" width="11.42578125" style="21"/>
    <col min="16" max="16" width="13.7109375" style="21" customWidth="1"/>
    <col min="17" max="59" width="11.42578125" style="21"/>
  </cols>
  <sheetData>
    <row r="2" spans="2:60">
      <c r="E2" s="182">
        <v>12</v>
      </c>
      <c r="F2" s="182">
        <v>11</v>
      </c>
      <c r="G2" s="182">
        <v>10</v>
      </c>
      <c r="H2" s="182">
        <v>9</v>
      </c>
      <c r="I2" s="182">
        <v>8</v>
      </c>
      <c r="J2" s="182">
        <v>7</v>
      </c>
      <c r="K2" s="182">
        <v>6</v>
      </c>
      <c r="L2" s="182">
        <v>5</v>
      </c>
      <c r="M2" s="182">
        <v>4</v>
      </c>
      <c r="N2" s="182">
        <v>3</v>
      </c>
      <c r="O2" s="182">
        <v>2</v>
      </c>
      <c r="P2" s="182">
        <v>1</v>
      </c>
      <c r="Q2" s="182">
        <v>12</v>
      </c>
      <c r="R2" s="182">
        <v>11</v>
      </c>
      <c r="S2" s="182">
        <v>10</v>
      </c>
      <c r="T2" s="182">
        <v>9</v>
      </c>
      <c r="U2" s="182">
        <v>8</v>
      </c>
      <c r="V2" s="182">
        <v>7</v>
      </c>
      <c r="W2" s="182">
        <v>6</v>
      </c>
      <c r="X2" s="182">
        <v>5</v>
      </c>
      <c r="Y2" s="182">
        <v>4</v>
      </c>
      <c r="Z2" s="182">
        <v>3</v>
      </c>
      <c r="AA2" s="182">
        <v>2</v>
      </c>
      <c r="AB2" s="182">
        <v>1</v>
      </c>
      <c r="AC2" s="182">
        <v>12</v>
      </c>
      <c r="AD2" s="182">
        <v>11</v>
      </c>
      <c r="AE2" s="182">
        <v>10</v>
      </c>
      <c r="AF2" s="182">
        <v>9</v>
      </c>
      <c r="AG2" s="182">
        <v>8</v>
      </c>
      <c r="AH2" s="182">
        <v>7</v>
      </c>
      <c r="AI2" s="182">
        <v>6</v>
      </c>
      <c r="AJ2" s="182">
        <v>5</v>
      </c>
      <c r="AK2" s="182">
        <v>4</v>
      </c>
      <c r="AL2" s="182">
        <v>3</v>
      </c>
      <c r="AM2" s="182">
        <v>2</v>
      </c>
      <c r="AN2" s="182">
        <v>1</v>
      </c>
      <c r="AO2" s="182">
        <v>12</v>
      </c>
      <c r="AP2" s="182">
        <v>11</v>
      </c>
      <c r="AQ2" s="182">
        <v>10</v>
      </c>
      <c r="AR2" s="182">
        <v>9</v>
      </c>
      <c r="AS2" s="182">
        <v>8</v>
      </c>
      <c r="AT2" s="182">
        <v>7</v>
      </c>
      <c r="AU2" s="182">
        <v>6</v>
      </c>
      <c r="AV2" s="182">
        <v>5</v>
      </c>
      <c r="AW2" s="182">
        <v>4</v>
      </c>
      <c r="AX2" s="182">
        <v>3</v>
      </c>
      <c r="AY2" s="182">
        <v>2</v>
      </c>
      <c r="AZ2" s="182">
        <v>1</v>
      </c>
      <c r="BA2" s="182">
        <v>6</v>
      </c>
      <c r="BB2" s="182">
        <v>5</v>
      </c>
      <c r="BC2" s="182">
        <v>4</v>
      </c>
      <c r="BD2" s="182">
        <v>3</v>
      </c>
      <c r="BE2" s="182">
        <v>2</v>
      </c>
      <c r="BF2" s="182">
        <v>1</v>
      </c>
    </row>
    <row r="3" spans="2:60">
      <c r="E3" s="1082">
        <v>2009</v>
      </c>
      <c r="F3" s="1082"/>
      <c r="G3" s="1082"/>
      <c r="H3" s="1082"/>
      <c r="I3" s="1082"/>
      <c r="J3" s="1082"/>
      <c r="K3" s="1082"/>
      <c r="L3" s="1082"/>
      <c r="M3" s="1082"/>
      <c r="N3" s="1082"/>
      <c r="O3" s="1082"/>
      <c r="P3" s="1082"/>
      <c r="Q3" s="1082">
        <f>+E3+1</f>
        <v>2010</v>
      </c>
      <c r="R3" s="1082"/>
      <c r="S3" s="1082"/>
      <c r="T3" s="1082"/>
      <c r="U3" s="1082"/>
      <c r="V3" s="1082"/>
      <c r="W3" s="1082"/>
      <c r="X3" s="1082"/>
      <c r="Y3" s="1082"/>
      <c r="Z3" s="1082"/>
      <c r="AA3" s="1082"/>
      <c r="AB3" s="1082"/>
      <c r="AC3" s="1082">
        <v>2011</v>
      </c>
      <c r="AD3" s="1082"/>
      <c r="AE3" s="1082"/>
      <c r="AF3" s="1082"/>
      <c r="AG3" s="1082"/>
      <c r="AH3" s="1082"/>
      <c r="AI3" s="1082"/>
      <c r="AJ3" s="1082"/>
      <c r="AK3" s="1082"/>
      <c r="AL3" s="1082"/>
      <c r="AM3" s="1082"/>
      <c r="AN3" s="1082"/>
      <c r="AO3" s="1082">
        <v>2012</v>
      </c>
      <c r="AP3" s="1082"/>
      <c r="AQ3" s="1082"/>
      <c r="AR3" s="1082"/>
      <c r="AS3" s="1082"/>
      <c r="AT3" s="1082"/>
      <c r="AU3" s="1082"/>
      <c r="AV3" s="1082"/>
      <c r="AW3" s="1082"/>
      <c r="AX3" s="1082"/>
      <c r="AY3" s="1082"/>
      <c r="AZ3" s="1082"/>
      <c r="BA3" s="1082">
        <v>2013</v>
      </c>
      <c r="BB3" s="1082"/>
      <c r="BC3" s="1082"/>
      <c r="BD3" s="1082"/>
      <c r="BE3" s="1082"/>
      <c r="BF3" s="1082"/>
    </row>
    <row r="4" spans="2:60" ht="17.25" customHeight="1">
      <c r="B4" s="1130" t="s">
        <v>634</v>
      </c>
      <c r="C4" s="1131"/>
      <c r="D4" s="1131"/>
      <c r="E4" s="180" t="s">
        <v>635</v>
      </c>
      <c r="F4" s="180" t="s">
        <v>636</v>
      </c>
      <c r="G4" s="180" t="s">
        <v>637</v>
      </c>
      <c r="H4" s="180" t="s">
        <v>638</v>
      </c>
      <c r="I4" s="180" t="s">
        <v>639</v>
      </c>
      <c r="J4" s="180" t="s">
        <v>640</v>
      </c>
      <c r="K4" s="180" t="s">
        <v>641</v>
      </c>
      <c r="L4" s="180" t="s">
        <v>642</v>
      </c>
      <c r="M4" s="180" t="s">
        <v>643</v>
      </c>
      <c r="N4" s="180" t="s">
        <v>644</v>
      </c>
      <c r="O4" s="180" t="s">
        <v>645</v>
      </c>
      <c r="P4" s="180" t="s">
        <v>646</v>
      </c>
      <c r="Q4" s="180" t="s">
        <v>635</v>
      </c>
      <c r="R4" s="180" t="s">
        <v>636</v>
      </c>
      <c r="S4" s="180" t="s">
        <v>637</v>
      </c>
      <c r="T4" s="180" t="s">
        <v>638</v>
      </c>
      <c r="U4" s="180" t="s">
        <v>639</v>
      </c>
      <c r="V4" s="180" t="s">
        <v>640</v>
      </c>
      <c r="W4" s="180" t="s">
        <v>641</v>
      </c>
      <c r="X4" s="180" t="s">
        <v>642</v>
      </c>
      <c r="Y4" s="180" t="s">
        <v>643</v>
      </c>
      <c r="Z4" s="180" t="s">
        <v>644</v>
      </c>
      <c r="AA4" s="180" t="s">
        <v>645</v>
      </c>
      <c r="AB4" s="180" t="s">
        <v>646</v>
      </c>
      <c r="AC4" s="180" t="s">
        <v>635</v>
      </c>
      <c r="AD4" s="180" t="s">
        <v>636</v>
      </c>
      <c r="AE4" s="180" t="s">
        <v>637</v>
      </c>
      <c r="AF4" s="180" t="s">
        <v>638</v>
      </c>
      <c r="AG4" s="180" t="s">
        <v>639</v>
      </c>
      <c r="AH4" s="180" t="s">
        <v>640</v>
      </c>
      <c r="AI4" s="180" t="s">
        <v>641</v>
      </c>
      <c r="AJ4" s="180" t="s">
        <v>642</v>
      </c>
      <c r="AK4" s="180" t="s">
        <v>643</v>
      </c>
      <c r="AL4" s="180" t="s">
        <v>644</v>
      </c>
      <c r="AM4" s="180" t="s">
        <v>645</v>
      </c>
      <c r="AN4" s="180" t="s">
        <v>646</v>
      </c>
      <c r="AO4" s="180" t="s">
        <v>635</v>
      </c>
      <c r="AP4" s="180" t="s">
        <v>636</v>
      </c>
      <c r="AQ4" s="180" t="s">
        <v>637</v>
      </c>
      <c r="AR4" s="180" t="s">
        <v>638</v>
      </c>
      <c r="AS4" s="180" t="s">
        <v>639</v>
      </c>
      <c r="AT4" s="180" t="s">
        <v>640</v>
      </c>
      <c r="AU4" s="180" t="s">
        <v>641</v>
      </c>
      <c r="AV4" s="180" t="s">
        <v>642</v>
      </c>
      <c r="AW4" s="180" t="s">
        <v>643</v>
      </c>
      <c r="AX4" s="180" t="s">
        <v>644</v>
      </c>
      <c r="AY4" s="180" t="s">
        <v>645</v>
      </c>
      <c r="AZ4" s="180" t="s">
        <v>646</v>
      </c>
      <c r="BA4" s="180" t="s">
        <v>635</v>
      </c>
      <c r="BB4" s="180" t="s">
        <v>636</v>
      </c>
      <c r="BC4" s="180" t="s">
        <v>637</v>
      </c>
      <c r="BD4" s="180" t="s">
        <v>638</v>
      </c>
      <c r="BE4" s="180" t="s">
        <v>639</v>
      </c>
      <c r="BF4" s="180" t="s">
        <v>640</v>
      </c>
      <c r="BG4" s="180" t="s">
        <v>85</v>
      </c>
    </row>
    <row r="5" spans="2:60">
      <c r="B5" s="1124" t="s">
        <v>647</v>
      </c>
      <c r="C5" s="1124" t="s">
        <v>648</v>
      </c>
      <c r="D5" s="1" t="s">
        <v>649</v>
      </c>
    </row>
    <row r="6" spans="2:60">
      <c r="B6" s="1124"/>
      <c r="C6" s="1124"/>
      <c r="D6" t="s">
        <v>650</v>
      </c>
      <c r="H6" s="440">
        <f>18.842*'ART. 177'!$F$194</f>
        <v>15.552566321428614</v>
      </c>
      <c r="AN6" s="974"/>
      <c r="BG6" s="478">
        <f t="shared" ref="BG6:BG20" si="0">+SUM(E6:BF6)</f>
        <v>15.552566321428614</v>
      </c>
    </row>
    <row r="7" spans="2:60">
      <c r="B7" s="1124"/>
      <c r="C7" s="1124"/>
      <c r="D7" t="s">
        <v>651</v>
      </c>
      <c r="E7" s="441"/>
      <c r="F7" s="442"/>
      <c r="G7" s="443"/>
      <c r="H7" s="21">
        <v>6.0990000000000002</v>
      </c>
      <c r="I7" s="443"/>
      <c r="J7" s="443"/>
      <c r="K7" s="443"/>
      <c r="L7" s="444"/>
      <c r="M7" s="444"/>
      <c r="N7" s="440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4"/>
      <c r="AU7" s="444"/>
      <c r="AV7" s="444"/>
      <c r="AW7" s="444"/>
      <c r="AX7" s="444"/>
      <c r="AY7" s="444"/>
      <c r="AZ7" s="444"/>
      <c r="BA7" s="444"/>
      <c r="BB7" s="444"/>
      <c r="BC7" s="444"/>
      <c r="BD7" s="444"/>
      <c r="BE7" s="444"/>
      <c r="BF7" s="444"/>
      <c r="BG7" s="478">
        <f t="shared" si="0"/>
        <v>6.0990000000000002</v>
      </c>
      <c r="BH7" s="595">
        <f>SUM(BG6:BG7)</f>
        <v>21.651566321428614</v>
      </c>
    </row>
    <row r="8" spans="2:60">
      <c r="B8" s="1124"/>
      <c r="C8" s="1124"/>
      <c r="D8" s="1" t="s">
        <v>764</v>
      </c>
      <c r="E8" s="443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0">
        <v>3.3380000000000001</v>
      </c>
      <c r="AJ8" s="444"/>
      <c r="AK8" s="444"/>
      <c r="AL8" s="444"/>
      <c r="AM8" s="444"/>
      <c r="AN8" s="444"/>
      <c r="AO8" s="444"/>
      <c r="AP8" s="444"/>
      <c r="AQ8" s="444"/>
      <c r="AR8" s="444"/>
      <c r="AS8" s="444"/>
      <c r="AT8" s="444"/>
      <c r="AU8" s="444"/>
      <c r="AV8" s="444"/>
      <c r="AW8" s="444"/>
      <c r="AX8" s="444"/>
      <c r="AY8" s="444"/>
      <c r="AZ8" s="444"/>
      <c r="BA8" s="444"/>
      <c r="BB8" s="444"/>
      <c r="BC8" s="444"/>
      <c r="BD8" s="444"/>
      <c r="BE8" s="444"/>
      <c r="BF8" s="444"/>
      <c r="BG8" s="478">
        <f t="shared" si="0"/>
        <v>3.3380000000000001</v>
      </c>
    </row>
    <row r="9" spans="2:60">
      <c r="B9" s="1124"/>
      <c r="C9" s="1124"/>
      <c r="D9" s="679" t="s">
        <v>765</v>
      </c>
      <c r="E9" s="680"/>
      <c r="F9" s="681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0"/>
      <c r="AJ9" s="444"/>
      <c r="AK9" s="444"/>
      <c r="AL9" s="444"/>
      <c r="AM9" s="444"/>
      <c r="AN9" s="444"/>
      <c r="AO9" s="444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4"/>
      <c r="BC9" s="444"/>
      <c r="BD9" s="444"/>
      <c r="BE9" s="444"/>
      <c r="BF9" s="444"/>
      <c r="BG9" s="478">
        <f t="shared" si="0"/>
        <v>0</v>
      </c>
    </row>
    <row r="10" spans="2:60">
      <c r="B10" s="1124"/>
      <c r="C10" s="1124"/>
      <c r="D10" s="682" t="s">
        <v>746</v>
      </c>
      <c r="E10" s="680"/>
      <c r="F10" s="681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0">
        <v>7.4480000000000004</v>
      </c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444"/>
      <c r="BB10" s="444"/>
      <c r="BC10" s="444"/>
      <c r="BD10" s="444"/>
      <c r="BE10" s="444"/>
      <c r="BF10" s="444"/>
      <c r="BG10" s="478">
        <f t="shared" si="0"/>
        <v>7.4480000000000004</v>
      </c>
    </row>
    <row r="11" spans="2:60">
      <c r="B11" s="1124"/>
      <c r="C11" s="1124"/>
      <c r="D11" t="s">
        <v>652</v>
      </c>
      <c r="E11" s="443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0">
        <v>3.569</v>
      </c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444"/>
      <c r="BB11" s="444"/>
      <c r="BC11" s="444"/>
      <c r="BD11" s="444"/>
      <c r="BE11" s="444"/>
      <c r="BF11" s="444"/>
      <c r="BG11" s="478">
        <f t="shared" si="0"/>
        <v>3.569</v>
      </c>
    </row>
    <row r="12" spans="2:60">
      <c r="B12" s="1124"/>
      <c r="C12" s="1124"/>
      <c r="D12" t="s">
        <v>653</v>
      </c>
      <c r="E12" s="443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0">
        <v>3.0720000000000001</v>
      </c>
      <c r="AJ12" s="444"/>
      <c r="AK12" s="444"/>
      <c r="AL12" s="444"/>
      <c r="AM12" s="444"/>
      <c r="AN12" s="444"/>
      <c r="AO12" s="444"/>
      <c r="AP12" s="444"/>
      <c r="AQ12" s="444"/>
      <c r="AR12" s="444"/>
      <c r="AS12" s="444"/>
      <c r="AT12" s="444"/>
      <c r="AU12" s="444"/>
      <c r="AV12" s="444"/>
      <c r="AW12" s="444"/>
      <c r="AX12" s="444"/>
      <c r="AY12" s="444"/>
      <c r="AZ12" s="444"/>
      <c r="BA12" s="444"/>
      <c r="BB12" s="444"/>
      <c r="BC12" s="444"/>
      <c r="BD12" s="444"/>
      <c r="BE12" s="444"/>
      <c r="BF12" s="444"/>
      <c r="BG12" s="478">
        <f t="shared" si="0"/>
        <v>3.0720000000000001</v>
      </c>
    </row>
    <row r="13" spans="2:60">
      <c r="B13" s="1124"/>
      <c r="C13" s="1124"/>
      <c r="D13" t="s">
        <v>654</v>
      </c>
      <c r="E13" s="443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0">
        <v>1.7589999999999999</v>
      </c>
      <c r="AJ13" s="444"/>
      <c r="AK13" s="444"/>
      <c r="AL13" s="444"/>
      <c r="AM13" s="444"/>
      <c r="AN13" s="444"/>
      <c r="AO13" s="444"/>
      <c r="AP13" s="444"/>
      <c r="AQ13" s="444"/>
      <c r="AR13" s="444"/>
      <c r="AS13" s="444"/>
      <c r="AT13" s="444"/>
      <c r="AU13" s="444"/>
      <c r="AV13" s="444"/>
      <c r="AW13" s="444"/>
      <c r="AX13" s="444"/>
      <c r="AY13" s="444"/>
      <c r="AZ13" s="444"/>
      <c r="BA13" s="444"/>
      <c r="BB13" s="444"/>
      <c r="BC13" s="444"/>
      <c r="BD13" s="444"/>
      <c r="BE13" s="444"/>
      <c r="BF13" s="444"/>
      <c r="BG13" s="478">
        <f t="shared" si="0"/>
        <v>1.7589999999999999</v>
      </c>
    </row>
    <row r="14" spans="2:60">
      <c r="B14" s="1124"/>
      <c r="C14" s="1124"/>
      <c r="D14" s="1" t="s">
        <v>766</v>
      </c>
      <c r="E14" s="443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0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  <c r="AT14" s="444"/>
      <c r="AU14" s="444"/>
      <c r="AV14" s="444"/>
      <c r="AW14" s="444"/>
      <c r="AX14" s="444"/>
      <c r="AY14" s="444"/>
      <c r="AZ14" s="444"/>
      <c r="BA14" s="444"/>
      <c r="BB14" s="444"/>
      <c r="BC14" s="444"/>
      <c r="BD14" s="444"/>
      <c r="BE14" s="444"/>
      <c r="BF14" s="444"/>
      <c r="BG14" s="478">
        <f t="shared" si="0"/>
        <v>0</v>
      </c>
    </row>
    <row r="15" spans="2:60">
      <c r="B15" s="1124"/>
      <c r="C15" s="1124"/>
      <c r="D15" t="s">
        <v>655</v>
      </c>
      <c r="E15" s="443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0">
        <v>4.4429999999999996</v>
      </c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444"/>
      <c r="AZ15" s="444"/>
      <c r="BA15" s="444"/>
      <c r="BB15" s="444"/>
      <c r="BC15" s="444"/>
      <c r="BD15" s="444"/>
      <c r="BE15" s="444"/>
      <c r="BF15" s="444"/>
      <c r="BG15" s="478">
        <f t="shared" si="0"/>
        <v>4.4429999999999996</v>
      </c>
    </row>
    <row r="16" spans="2:60">
      <c r="B16" s="1124"/>
      <c r="C16" s="1124"/>
      <c r="D16" t="s">
        <v>656</v>
      </c>
      <c r="E16" s="443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0">
        <v>2.117</v>
      </c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444"/>
      <c r="BE16" s="444"/>
      <c r="BF16" s="444"/>
      <c r="BG16" s="478">
        <f t="shared" si="0"/>
        <v>2.117</v>
      </c>
    </row>
    <row r="17" spans="2:61">
      <c r="B17" s="1124"/>
      <c r="C17" s="1124"/>
      <c r="D17" t="s">
        <v>657</v>
      </c>
      <c r="E17" s="443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0">
        <v>2.117</v>
      </c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  <c r="AT17" s="444"/>
      <c r="AU17" s="444"/>
      <c r="AV17" s="444"/>
      <c r="AW17" s="444"/>
      <c r="AX17" s="444"/>
      <c r="AY17" s="444"/>
      <c r="AZ17" s="444"/>
      <c r="BA17" s="444"/>
      <c r="BB17" s="444"/>
      <c r="BC17" s="444"/>
      <c r="BD17" s="444"/>
      <c r="BE17" s="444"/>
      <c r="BF17" s="444"/>
      <c r="BG17" s="478">
        <f t="shared" si="0"/>
        <v>2.117</v>
      </c>
    </row>
    <row r="18" spans="2:61">
      <c r="B18" s="1124"/>
      <c r="C18" s="1124"/>
      <c r="D18" s="1" t="s">
        <v>767</v>
      </c>
      <c r="E18" s="443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0">
        <v>3.5550000000000002</v>
      </c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44"/>
      <c r="AU18" s="444"/>
      <c r="AV18" s="444"/>
      <c r="AW18" s="444"/>
      <c r="AX18" s="444"/>
      <c r="AY18" s="444"/>
      <c r="AZ18" s="444"/>
      <c r="BA18" s="444"/>
      <c r="BB18" s="444"/>
      <c r="BC18" s="444"/>
      <c r="BD18" s="444"/>
      <c r="BE18" s="444"/>
      <c r="BF18" s="444"/>
      <c r="BG18" s="478">
        <f t="shared" si="0"/>
        <v>3.5550000000000002</v>
      </c>
      <c r="BH18">
        <f>SUM(BG16:BG18)</f>
        <v>7.7889999999999997</v>
      </c>
    </row>
    <row r="19" spans="2:61" ht="13.5" thickBot="1">
      <c r="B19" s="1124"/>
      <c r="C19" s="1124"/>
      <c r="D19" s="1" t="s">
        <v>775</v>
      </c>
      <c r="E19" s="443"/>
      <c r="F19" s="444"/>
      <c r="G19" s="975">
        <v>0.94199999999999995</v>
      </c>
      <c r="H19" s="444"/>
      <c r="I19" s="444"/>
      <c r="J19" s="444"/>
      <c r="K19" s="444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0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  <c r="AT19" s="444"/>
      <c r="AU19" s="444"/>
      <c r="AV19" s="444"/>
      <c r="AW19" s="444"/>
      <c r="AX19" s="444"/>
      <c r="AY19" s="444"/>
      <c r="AZ19" s="444"/>
      <c r="BA19" s="444"/>
      <c r="BB19" s="444"/>
      <c r="BC19" s="444"/>
      <c r="BD19" s="444"/>
      <c r="BE19" s="444"/>
      <c r="BF19" s="444"/>
      <c r="BG19" s="478">
        <f t="shared" si="0"/>
        <v>0.94199999999999995</v>
      </c>
    </row>
    <row r="20" spans="2:61" ht="13.5" thickBot="1">
      <c r="B20" s="1124"/>
      <c r="C20" s="1124"/>
      <c r="D20" s="445" t="s">
        <v>658</v>
      </c>
      <c r="E20" s="21">
        <f>+SUM(E5:E18)</f>
        <v>0</v>
      </c>
      <c r="F20" s="21">
        <f>+SUM(F5:F18)</f>
        <v>0</v>
      </c>
      <c r="G20" s="21">
        <f>+SUM(G5:G19)</f>
        <v>0.94199999999999995</v>
      </c>
      <c r="H20" s="440">
        <f t="shared" ref="H20:BF20" si="1">+SUM(H5:H19)</f>
        <v>21.651566321428614</v>
      </c>
      <c r="I20" s="21">
        <f t="shared" si="1"/>
        <v>0</v>
      </c>
      <c r="J20" s="21">
        <f t="shared" si="1"/>
        <v>0</v>
      </c>
      <c r="K20" s="21">
        <f t="shared" si="1"/>
        <v>0</v>
      </c>
      <c r="L20" s="21">
        <f t="shared" si="1"/>
        <v>0</v>
      </c>
      <c r="M20" s="21">
        <f t="shared" si="1"/>
        <v>0</v>
      </c>
      <c r="N20" s="21">
        <f t="shared" si="1"/>
        <v>0</v>
      </c>
      <c r="O20" s="21">
        <f t="shared" si="1"/>
        <v>0</v>
      </c>
      <c r="P20" s="21">
        <f t="shared" si="1"/>
        <v>0</v>
      </c>
      <c r="Q20" s="21">
        <f t="shared" si="1"/>
        <v>0</v>
      </c>
      <c r="R20" s="21">
        <f t="shared" si="1"/>
        <v>0</v>
      </c>
      <c r="S20" s="21">
        <f t="shared" si="1"/>
        <v>0</v>
      </c>
      <c r="T20" s="21">
        <f t="shared" si="1"/>
        <v>0</v>
      </c>
      <c r="U20" s="21">
        <f t="shared" si="1"/>
        <v>0</v>
      </c>
      <c r="V20" s="21">
        <f t="shared" si="1"/>
        <v>0</v>
      </c>
      <c r="W20" s="21">
        <f t="shared" si="1"/>
        <v>0</v>
      </c>
      <c r="X20" s="21">
        <f t="shared" si="1"/>
        <v>0</v>
      </c>
      <c r="Y20" s="21">
        <f t="shared" si="1"/>
        <v>0</v>
      </c>
      <c r="Z20" s="21">
        <f t="shared" si="1"/>
        <v>0</v>
      </c>
      <c r="AA20" s="21">
        <f t="shared" si="1"/>
        <v>0</v>
      </c>
      <c r="AB20" s="21">
        <f t="shared" si="1"/>
        <v>0</v>
      </c>
      <c r="AC20" s="21">
        <f t="shared" si="1"/>
        <v>0</v>
      </c>
      <c r="AD20" s="21">
        <f t="shared" si="1"/>
        <v>0</v>
      </c>
      <c r="AE20" s="21">
        <f t="shared" si="1"/>
        <v>0</v>
      </c>
      <c r="AF20" s="21">
        <f t="shared" si="1"/>
        <v>0</v>
      </c>
      <c r="AG20" s="21">
        <f t="shared" si="1"/>
        <v>0</v>
      </c>
      <c r="AH20" s="21">
        <f t="shared" si="1"/>
        <v>0</v>
      </c>
      <c r="AI20" s="21">
        <f t="shared" si="1"/>
        <v>31.417999999999999</v>
      </c>
      <c r="AJ20" s="21">
        <f t="shared" si="1"/>
        <v>0</v>
      </c>
      <c r="AK20" s="21">
        <f t="shared" si="1"/>
        <v>0</v>
      </c>
      <c r="AL20" s="21">
        <f t="shared" si="1"/>
        <v>0</v>
      </c>
      <c r="AM20" s="21">
        <f t="shared" si="1"/>
        <v>0</v>
      </c>
      <c r="AN20" s="21">
        <f t="shared" si="1"/>
        <v>0</v>
      </c>
      <c r="AO20" s="21">
        <f t="shared" si="1"/>
        <v>0</v>
      </c>
      <c r="AP20" s="21">
        <f t="shared" si="1"/>
        <v>0</v>
      </c>
      <c r="AQ20" s="21">
        <f t="shared" si="1"/>
        <v>0</v>
      </c>
      <c r="AR20" s="21">
        <f t="shared" si="1"/>
        <v>0</v>
      </c>
      <c r="AS20" s="21">
        <f t="shared" si="1"/>
        <v>0</v>
      </c>
      <c r="AT20" s="21">
        <f t="shared" si="1"/>
        <v>0</v>
      </c>
      <c r="AU20" s="21">
        <f t="shared" si="1"/>
        <v>0</v>
      </c>
      <c r="AV20" s="21">
        <f t="shared" si="1"/>
        <v>0</v>
      </c>
      <c r="AW20" s="21">
        <f t="shared" si="1"/>
        <v>0</v>
      </c>
      <c r="AX20" s="21">
        <f t="shared" si="1"/>
        <v>0</v>
      </c>
      <c r="AY20" s="21">
        <f t="shared" si="1"/>
        <v>0</v>
      </c>
      <c r="AZ20" s="21">
        <f t="shared" si="1"/>
        <v>0</v>
      </c>
      <c r="BA20" s="21">
        <f t="shared" si="1"/>
        <v>0</v>
      </c>
      <c r="BB20" s="21">
        <f t="shared" si="1"/>
        <v>0</v>
      </c>
      <c r="BC20" s="21">
        <f t="shared" si="1"/>
        <v>0</v>
      </c>
      <c r="BD20" s="21">
        <f t="shared" si="1"/>
        <v>0</v>
      </c>
      <c r="BE20" s="21">
        <f t="shared" si="1"/>
        <v>0</v>
      </c>
      <c r="BF20" s="21">
        <f t="shared" si="1"/>
        <v>0</v>
      </c>
      <c r="BG20" s="976">
        <f t="shared" si="0"/>
        <v>54.011566321428617</v>
      </c>
    </row>
    <row r="21" spans="2:61" ht="18.75" customHeight="1">
      <c r="B21" s="1124"/>
      <c r="C21" s="1124" t="s">
        <v>659</v>
      </c>
      <c r="D21" s="1" t="s">
        <v>660</v>
      </c>
      <c r="E21" s="446"/>
      <c r="F21" s="444"/>
      <c r="G21" s="443"/>
      <c r="H21" s="443"/>
      <c r="I21" s="443"/>
      <c r="J21" s="443"/>
      <c r="K21" s="443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  <c r="AC21" s="444"/>
      <c r="AD21" s="444"/>
      <c r="AE21" s="444"/>
      <c r="AF21" s="444"/>
      <c r="AG21" s="444"/>
      <c r="AH21" s="444"/>
      <c r="AI21" s="444"/>
      <c r="AJ21" s="444"/>
      <c r="AK21" s="444"/>
      <c r="AL21" s="444"/>
      <c r="AM21" s="444"/>
      <c r="AN21" s="444"/>
      <c r="AO21" s="444"/>
      <c r="AP21" s="444"/>
      <c r="AQ21" s="444"/>
      <c r="AR21" s="444"/>
      <c r="AS21" s="444"/>
      <c r="AT21" s="444"/>
      <c r="AU21" s="444"/>
      <c r="AV21" s="444"/>
      <c r="AW21" s="444"/>
      <c r="AX21" s="444"/>
      <c r="AY21" s="444"/>
      <c r="AZ21" s="444"/>
      <c r="BA21" s="444"/>
      <c r="BB21" s="444"/>
      <c r="BC21" s="444"/>
      <c r="BD21" s="444"/>
      <c r="BE21" s="444"/>
      <c r="BF21" s="444"/>
    </row>
    <row r="22" spans="2:61" ht="18.75" customHeight="1">
      <c r="B22" s="1124"/>
      <c r="C22" s="1124"/>
      <c r="D22" s="1" t="s">
        <v>661</v>
      </c>
      <c r="E22" s="446"/>
      <c r="F22" s="444"/>
      <c r="G22" s="443"/>
      <c r="H22" s="443"/>
      <c r="I22" s="443"/>
      <c r="J22" s="443"/>
      <c r="K22" s="443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971"/>
      <c r="AJ22" s="444"/>
      <c r="AK22" s="444"/>
      <c r="AL22" s="444"/>
      <c r="AM22" s="444"/>
      <c r="AN22" s="444"/>
      <c r="AO22" s="444"/>
      <c r="AP22" s="444"/>
      <c r="AQ22" s="444"/>
      <c r="AR22" s="444"/>
      <c r="AS22" s="444"/>
      <c r="AT22" s="444"/>
      <c r="AU22" s="444"/>
      <c r="AV22" s="444"/>
      <c r="AW22" s="444"/>
      <c r="AX22" s="444"/>
      <c r="AY22" s="444"/>
      <c r="AZ22" s="444"/>
      <c r="BA22" s="444"/>
      <c r="BB22" s="444"/>
      <c r="BC22" s="444"/>
      <c r="BD22" s="444"/>
      <c r="BE22" s="444"/>
      <c r="BF22" s="444"/>
    </row>
    <row r="23" spans="2:61" ht="18.75" customHeight="1">
      <c r="B23" s="1124"/>
      <c r="C23" s="1124"/>
      <c r="D23" t="s">
        <v>662</v>
      </c>
      <c r="E23" s="446"/>
      <c r="F23" s="444"/>
      <c r="G23" s="443"/>
      <c r="H23" s="443"/>
      <c r="I23" s="443"/>
      <c r="J23" s="443"/>
      <c r="K23" s="443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971"/>
      <c r="AJ23" s="444"/>
      <c r="AK23" s="444"/>
      <c r="AL23" s="444"/>
      <c r="AM23" s="444"/>
      <c r="AN23" s="444"/>
      <c r="AO23" s="444"/>
      <c r="AP23" s="444"/>
      <c r="AQ23" s="444"/>
      <c r="AR23" s="444"/>
      <c r="AS23" s="444"/>
      <c r="AT23" s="444"/>
      <c r="AU23" s="440">
        <v>2.177</v>
      </c>
      <c r="AV23" s="444"/>
      <c r="AW23" s="444"/>
      <c r="AX23" s="444"/>
      <c r="AY23" s="444"/>
      <c r="AZ23" s="444"/>
      <c r="BA23" s="444"/>
      <c r="BB23" s="444"/>
      <c r="BC23" s="444"/>
      <c r="BD23" s="444"/>
      <c r="BE23" s="444"/>
      <c r="BF23" s="444"/>
      <c r="BG23" s="21">
        <f>+SUM(E23:BF23)</f>
        <v>2.177</v>
      </c>
    </row>
    <row r="24" spans="2:61" ht="18.75" customHeight="1">
      <c r="B24" s="1124"/>
      <c r="C24" s="1124"/>
      <c r="D24" t="s">
        <v>663</v>
      </c>
      <c r="E24" s="446"/>
      <c r="F24" s="444"/>
      <c r="G24" s="443"/>
      <c r="H24" s="443"/>
      <c r="I24" s="443"/>
      <c r="J24" s="443"/>
      <c r="K24" s="443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  <c r="AT24" s="444"/>
      <c r="AU24" s="440">
        <v>3.3340000000000001</v>
      </c>
      <c r="AV24" s="444"/>
      <c r="AW24" s="444"/>
      <c r="AX24" s="444"/>
      <c r="AY24" s="444"/>
      <c r="AZ24" s="444"/>
      <c r="BA24" s="444"/>
      <c r="BB24" s="444"/>
      <c r="BC24" s="444"/>
      <c r="BD24" s="444"/>
      <c r="BE24" s="444"/>
      <c r="BF24" s="444"/>
      <c r="BG24" s="21">
        <f>+SUM(E24:BF24)</f>
        <v>3.3340000000000001</v>
      </c>
    </row>
    <row r="25" spans="2:61" ht="18.75" customHeight="1">
      <c r="B25" s="1124"/>
      <c r="C25" s="1124"/>
      <c r="D25" s="1" t="s">
        <v>664</v>
      </c>
      <c r="E25" s="446"/>
      <c r="F25" s="444"/>
      <c r="G25" s="443"/>
      <c r="H25" s="443"/>
      <c r="I25" s="443"/>
      <c r="J25" s="443"/>
      <c r="K25" s="443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  <c r="AO25" s="444"/>
      <c r="AP25" s="444"/>
      <c r="AQ25" s="444"/>
      <c r="AR25" s="444"/>
      <c r="AS25" s="444"/>
      <c r="AT25" s="444"/>
      <c r="AU25" s="440"/>
      <c r="AV25" s="444"/>
      <c r="AW25" s="444"/>
      <c r="AX25" s="444"/>
      <c r="AY25" s="444"/>
      <c r="AZ25" s="444"/>
      <c r="BA25" s="444"/>
      <c r="BB25" s="444"/>
      <c r="BC25" s="444"/>
      <c r="BD25" s="444"/>
      <c r="BE25" s="444"/>
      <c r="BF25" s="444"/>
    </row>
    <row r="26" spans="2:61" ht="18.75" customHeight="1">
      <c r="B26" s="1124"/>
      <c r="C26" s="1124"/>
      <c r="D26" t="s">
        <v>665</v>
      </c>
      <c r="E26" s="446"/>
      <c r="F26" s="444"/>
      <c r="G26" s="443"/>
      <c r="H26" s="443"/>
      <c r="I26" s="443"/>
      <c r="J26" s="443"/>
      <c r="K26" s="443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0">
        <v>2.2440000000000002</v>
      </c>
      <c r="AV26" s="444"/>
      <c r="AW26" s="444"/>
      <c r="AX26" s="444"/>
      <c r="AY26" s="444"/>
      <c r="AZ26" s="444"/>
      <c r="BA26" s="444"/>
      <c r="BB26" s="444"/>
      <c r="BC26" s="444"/>
      <c r="BD26" s="444"/>
      <c r="BE26" s="444"/>
      <c r="BF26" s="444"/>
      <c r="BG26" s="21">
        <f>+SUM(E26:BF26)</f>
        <v>2.2440000000000002</v>
      </c>
    </row>
    <row r="27" spans="2:61" ht="18.75" customHeight="1">
      <c r="B27" s="1124"/>
      <c r="C27" s="1124"/>
      <c r="D27" t="s">
        <v>666</v>
      </c>
      <c r="E27" s="446"/>
      <c r="F27" s="444"/>
      <c r="G27" s="443"/>
      <c r="H27" s="443"/>
      <c r="I27" s="443"/>
      <c r="J27" s="443"/>
      <c r="K27" s="443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0">
        <v>2.117</v>
      </c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21">
        <f>+SUM(E27:BF27)</f>
        <v>2.117</v>
      </c>
    </row>
    <row r="28" spans="2:61" ht="18.75" customHeight="1">
      <c r="B28" s="1124"/>
      <c r="C28" s="1124"/>
      <c r="D28" t="s">
        <v>667</v>
      </c>
      <c r="E28" s="446"/>
      <c r="F28" s="444"/>
      <c r="G28" s="443"/>
      <c r="H28" s="443"/>
      <c r="I28" s="443"/>
      <c r="J28" s="443"/>
      <c r="K28" s="443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4"/>
      <c r="AA28" s="444"/>
      <c r="AB28" s="444"/>
      <c r="AC28" s="444"/>
      <c r="AD28" s="444"/>
      <c r="AE28" s="444"/>
      <c r="AF28" s="444"/>
      <c r="AG28" s="444"/>
      <c r="AH28" s="444"/>
      <c r="AI28" s="444"/>
      <c r="AJ28" s="444"/>
      <c r="AK28" s="444"/>
      <c r="AL28" s="444"/>
      <c r="AM28" s="444"/>
      <c r="AN28" s="444"/>
      <c r="AO28" s="444"/>
      <c r="AP28" s="444"/>
      <c r="AQ28" s="444"/>
      <c r="AR28" s="444"/>
      <c r="AS28" s="444"/>
      <c r="AT28" s="444"/>
      <c r="AU28" s="440">
        <v>1.2170000000000001</v>
      </c>
      <c r="AV28" s="444"/>
      <c r="AW28" s="444"/>
      <c r="AX28" s="444"/>
      <c r="AY28" s="444"/>
      <c r="AZ28" s="444"/>
      <c r="BA28" s="444"/>
      <c r="BB28" s="444"/>
      <c r="BC28" s="444"/>
      <c r="BD28" s="444"/>
      <c r="BE28" s="444"/>
      <c r="BF28" s="444"/>
      <c r="BG28" s="21">
        <f>+SUM(E28:BF28)</f>
        <v>1.2170000000000001</v>
      </c>
    </row>
    <row r="29" spans="2:61" ht="18.75" customHeight="1">
      <c r="B29" s="1124"/>
      <c r="C29" s="1124"/>
      <c r="D29" s="1" t="s">
        <v>668</v>
      </c>
      <c r="E29" s="446"/>
      <c r="F29" s="444"/>
      <c r="G29" s="443"/>
      <c r="H29" s="443"/>
      <c r="I29" s="443"/>
      <c r="J29" s="443"/>
      <c r="K29" s="443"/>
      <c r="L29" s="444"/>
      <c r="M29" s="444"/>
      <c r="N29" s="444"/>
      <c r="O29" s="444"/>
      <c r="P29" s="444"/>
      <c r="Q29" s="444"/>
      <c r="R29" s="444"/>
      <c r="S29" s="444"/>
      <c r="T29" s="444"/>
      <c r="U29" s="444"/>
      <c r="V29" s="444"/>
      <c r="W29" s="444"/>
      <c r="X29" s="444"/>
      <c r="Y29" s="444"/>
      <c r="Z29" s="444"/>
      <c r="AA29" s="444"/>
      <c r="AB29" s="444"/>
      <c r="AC29" s="444"/>
      <c r="AD29" s="444"/>
      <c r="AE29" s="444"/>
      <c r="AF29" s="444"/>
      <c r="AG29" s="444"/>
      <c r="AH29" s="444"/>
      <c r="AI29" s="444"/>
      <c r="AJ29" s="444"/>
      <c r="AK29" s="444"/>
      <c r="AL29" s="444"/>
      <c r="AM29" s="444"/>
      <c r="AN29" s="444"/>
      <c r="AO29" s="444"/>
      <c r="AP29" s="444"/>
      <c r="AQ29" s="444"/>
      <c r="AR29" s="444"/>
      <c r="AS29" s="444"/>
      <c r="AT29" s="444"/>
      <c r="AU29" s="440"/>
      <c r="AV29" s="444"/>
      <c r="AW29" s="444"/>
      <c r="AX29" s="444"/>
      <c r="AY29" s="444"/>
      <c r="AZ29" s="444"/>
      <c r="BA29" s="444"/>
      <c r="BB29" s="444"/>
      <c r="BC29" s="444"/>
      <c r="BD29" s="444"/>
      <c r="BE29" s="444"/>
      <c r="BF29" s="444"/>
    </row>
    <row r="30" spans="2:61" ht="18.75" customHeight="1">
      <c r="B30" s="1124"/>
      <c r="C30" s="1124"/>
      <c r="D30" t="s">
        <v>669</v>
      </c>
      <c r="E30" s="446"/>
      <c r="F30" s="444"/>
      <c r="G30" s="443"/>
      <c r="H30" s="443"/>
      <c r="I30" s="443"/>
      <c r="J30" s="443"/>
      <c r="K30" s="443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  <c r="AP30" s="444"/>
      <c r="AQ30" s="444"/>
      <c r="AR30" s="444"/>
      <c r="AS30" s="444"/>
      <c r="AT30" s="444"/>
      <c r="AU30" s="440"/>
      <c r="AV30" s="444"/>
      <c r="AW30" s="444"/>
      <c r="AX30" s="444"/>
      <c r="AY30" s="444"/>
      <c r="AZ30" s="444"/>
      <c r="BA30" s="440"/>
      <c r="BB30" s="444"/>
      <c r="BC30" s="444"/>
      <c r="BD30" s="444"/>
      <c r="BE30" s="440"/>
      <c r="BF30" s="444"/>
      <c r="BG30" s="21">
        <f>+SUM(E30:BF30)</f>
        <v>0</v>
      </c>
      <c r="BI30" s="440">
        <v>43.780999999999999</v>
      </c>
    </row>
    <row r="31" spans="2:61" ht="18.75" customHeight="1">
      <c r="B31" s="1124"/>
      <c r="C31" s="1124"/>
      <c r="D31" t="s">
        <v>670</v>
      </c>
      <c r="E31" s="446"/>
      <c r="F31" s="444"/>
      <c r="G31" s="443"/>
      <c r="H31" s="443"/>
      <c r="I31" s="443"/>
      <c r="J31" s="443"/>
      <c r="K31" s="443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444"/>
      <c r="AA31" s="444"/>
      <c r="AB31" s="444"/>
      <c r="AC31" s="444"/>
      <c r="AD31" s="444"/>
      <c r="AE31" s="444"/>
      <c r="AF31" s="444"/>
      <c r="AG31" s="444"/>
      <c r="AH31" s="444"/>
      <c r="AI31" s="444"/>
      <c r="AJ31" s="444"/>
      <c r="AK31" s="444"/>
      <c r="AL31" s="444"/>
      <c r="AM31" s="444"/>
      <c r="AN31" s="444"/>
      <c r="AO31" s="444"/>
      <c r="AP31" s="444"/>
      <c r="AQ31" s="444"/>
      <c r="AR31" s="444"/>
      <c r="AS31" s="444"/>
      <c r="AT31" s="444"/>
      <c r="AU31" s="440"/>
      <c r="AV31" s="444"/>
      <c r="AW31" s="444"/>
      <c r="AX31" s="444"/>
      <c r="AY31" s="444"/>
      <c r="AZ31" s="444"/>
      <c r="BA31" s="440"/>
      <c r="BB31" s="444"/>
      <c r="BC31" s="444"/>
      <c r="BD31" s="444"/>
      <c r="BE31" s="440"/>
      <c r="BF31" s="444"/>
      <c r="BG31" s="21">
        <f>+SUM(E31:BF31)</f>
        <v>0</v>
      </c>
      <c r="BI31" s="440">
        <v>43.780999999999999</v>
      </c>
    </row>
    <row r="32" spans="2:61" ht="18.75" customHeight="1">
      <c r="B32" s="1124"/>
      <c r="C32" s="1124"/>
      <c r="D32" t="s">
        <v>666</v>
      </c>
      <c r="E32" s="446"/>
      <c r="F32" s="444"/>
      <c r="G32" s="443"/>
      <c r="H32" s="443"/>
      <c r="I32" s="443"/>
      <c r="J32" s="443"/>
      <c r="K32" s="443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44"/>
      <c r="AP32" s="444"/>
      <c r="AQ32" s="444"/>
      <c r="AR32" s="444"/>
      <c r="AS32" s="444"/>
      <c r="AT32" s="444"/>
      <c r="AU32" s="440"/>
      <c r="AV32" s="444"/>
      <c r="AW32" s="444"/>
      <c r="AX32" s="444"/>
      <c r="AY32" s="444"/>
      <c r="AZ32" s="444"/>
      <c r="BA32" s="440"/>
      <c r="BB32" s="444"/>
      <c r="BC32" s="440"/>
      <c r="BD32" s="444"/>
      <c r="BE32" s="440"/>
      <c r="BF32" s="444"/>
      <c r="BG32" s="21">
        <f>+SUM(E32:BF32)</f>
        <v>0</v>
      </c>
      <c r="BI32" s="440">
        <v>1.2170000000000001</v>
      </c>
    </row>
    <row r="33" spans="2:61" ht="18.75" customHeight="1">
      <c r="B33" s="1124"/>
      <c r="C33" s="1124"/>
      <c r="D33" t="s">
        <v>671</v>
      </c>
      <c r="E33" s="446"/>
      <c r="F33" s="444"/>
      <c r="G33" s="443"/>
      <c r="H33" s="443"/>
      <c r="I33" s="443"/>
      <c r="J33" s="443"/>
      <c r="K33" s="443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444"/>
      <c r="AL33" s="444"/>
      <c r="AM33" s="444"/>
      <c r="AN33" s="444"/>
      <c r="AO33" s="444"/>
      <c r="AP33" s="444"/>
      <c r="AQ33" s="444"/>
      <c r="AR33" s="444"/>
      <c r="AS33" s="444"/>
      <c r="AT33" s="444"/>
      <c r="AU33" s="440"/>
      <c r="AV33" s="444"/>
      <c r="AW33" s="444"/>
      <c r="AX33" s="444"/>
      <c r="AY33" s="444"/>
      <c r="AZ33" s="444"/>
      <c r="BA33" s="440"/>
      <c r="BB33" s="444"/>
      <c r="BC33" s="440"/>
      <c r="BD33" s="440"/>
      <c r="BE33" s="440"/>
      <c r="BF33" s="444"/>
      <c r="BG33" s="21">
        <f>+SUM(E33:BF33)</f>
        <v>0</v>
      </c>
      <c r="BI33" s="440">
        <v>3.3340000000000001</v>
      </c>
    </row>
    <row r="34" spans="2:61" ht="18.75" customHeight="1">
      <c r="B34" s="1124"/>
      <c r="C34" s="1124"/>
      <c r="D34" t="s">
        <v>672</v>
      </c>
      <c r="E34" s="446"/>
      <c r="F34" s="444"/>
      <c r="G34" s="443"/>
      <c r="H34" s="443"/>
      <c r="I34" s="443"/>
      <c r="J34" s="443"/>
      <c r="K34" s="443"/>
      <c r="L34" s="444"/>
      <c r="M34" s="444"/>
      <c r="N34" s="444"/>
      <c r="O34" s="444"/>
      <c r="P34" s="444"/>
      <c r="Q34" s="444"/>
      <c r="R34" s="444"/>
      <c r="S34" s="444"/>
      <c r="T34" s="444"/>
      <c r="U34" s="444"/>
      <c r="V34" s="444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44"/>
      <c r="AS34" s="444"/>
      <c r="AT34" s="444"/>
      <c r="AU34" s="440"/>
      <c r="AV34" s="444"/>
      <c r="AW34" s="444"/>
      <c r="AX34" s="444"/>
      <c r="AY34" s="444"/>
      <c r="AZ34" s="444"/>
      <c r="BA34" s="440"/>
      <c r="BB34" s="444"/>
      <c r="BC34" s="440"/>
      <c r="BD34" s="440"/>
      <c r="BE34" s="440"/>
      <c r="BF34" s="444"/>
      <c r="BG34" s="21">
        <f>+SUM(E34:BF34)</f>
        <v>0</v>
      </c>
      <c r="BI34" s="440">
        <v>2.117</v>
      </c>
    </row>
    <row r="35" spans="2:61" ht="18.75" customHeight="1">
      <c r="B35" s="1124"/>
      <c r="C35" s="1124"/>
      <c r="D35" s="1" t="s">
        <v>673</v>
      </c>
      <c r="E35" s="446"/>
      <c r="F35" s="444"/>
      <c r="G35" s="443"/>
      <c r="H35" s="443"/>
      <c r="I35" s="443"/>
      <c r="J35" s="443"/>
      <c r="K35" s="443"/>
      <c r="L35" s="444"/>
      <c r="M35" s="444"/>
      <c r="N35" s="444"/>
      <c r="O35" s="444"/>
      <c r="P35" s="444"/>
      <c r="Q35" s="444"/>
      <c r="R35" s="444"/>
      <c r="S35" s="444"/>
      <c r="T35" s="444"/>
      <c r="U35" s="444"/>
      <c r="V35" s="444"/>
      <c r="W35" s="444"/>
      <c r="X35" s="444"/>
      <c r="Y35" s="444"/>
      <c r="Z35" s="444"/>
      <c r="AA35" s="444"/>
      <c r="AB35" s="444"/>
      <c r="AC35" s="444"/>
      <c r="AD35" s="444"/>
      <c r="AE35" s="444"/>
      <c r="AF35" s="444"/>
      <c r="AG35" s="444"/>
      <c r="AH35" s="444"/>
      <c r="AI35" s="444"/>
      <c r="AJ35" s="444"/>
      <c r="AK35" s="444"/>
      <c r="AL35" s="444"/>
      <c r="AM35" s="444"/>
      <c r="AN35" s="444"/>
      <c r="AO35" s="444"/>
      <c r="AP35" s="444"/>
      <c r="AQ35" s="444"/>
      <c r="AR35" s="444"/>
      <c r="AS35" s="444"/>
      <c r="AT35" s="444"/>
      <c r="AV35" s="444"/>
      <c r="AW35" s="444"/>
      <c r="AX35" s="444"/>
      <c r="AY35" s="444"/>
      <c r="AZ35" s="444"/>
      <c r="BA35" s="444"/>
      <c r="BB35" s="444"/>
      <c r="BC35" s="444"/>
      <c r="BD35" s="444"/>
      <c r="BE35" s="444"/>
      <c r="BF35" s="444"/>
      <c r="BI35" s="595">
        <f>SUM(BI30:BI34)</f>
        <v>94.23</v>
      </c>
    </row>
    <row r="36" spans="2:61" ht="18.75" customHeight="1">
      <c r="B36" s="1124"/>
      <c r="C36" s="1124"/>
      <c r="D36" t="s">
        <v>674</v>
      </c>
      <c r="E36" s="446"/>
      <c r="F36" s="443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4"/>
      <c r="AH36" s="444"/>
      <c r="AI36" s="444"/>
      <c r="AJ36" s="444"/>
      <c r="AK36" s="444"/>
      <c r="AL36" s="444"/>
      <c r="AM36" s="444"/>
      <c r="AN36" s="444"/>
      <c r="AO36" s="444"/>
      <c r="AP36" s="444"/>
      <c r="AQ36" s="444"/>
      <c r="AR36" s="444"/>
      <c r="AS36" s="444"/>
      <c r="AT36" s="444"/>
      <c r="AU36" s="440">
        <v>8.0820000000000007</v>
      </c>
      <c r="AV36" s="444"/>
      <c r="AW36" s="444"/>
      <c r="AX36" s="444"/>
      <c r="AY36" s="444"/>
      <c r="AZ36" s="444"/>
      <c r="BA36" s="444"/>
      <c r="BB36" s="444"/>
      <c r="BC36" s="444"/>
      <c r="BD36" s="444"/>
      <c r="BE36" s="444"/>
      <c r="BF36" s="444"/>
      <c r="BG36" s="21">
        <f>+SUM(E36:BF36)</f>
        <v>8.0820000000000007</v>
      </c>
    </row>
    <row r="37" spans="2:61" ht="18.75" customHeight="1">
      <c r="B37" s="1124"/>
      <c r="C37" s="1124"/>
      <c r="D37" s="1" t="s">
        <v>675</v>
      </c>
      <c r="E37" s="446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4"/>
      <c r="AG37" s="444"/>
      <c r="AH37" s="444"/>
      <c r="AI37" s="444"/>
      <c r="AJ37" s="444"/>
      <c r="AK37" s="444"/>
      <c r="AL37" s="444"/>
      <c r="AM37" s="444"/>
      <c r="AN37" s="444"/>
      <c r="AO37" s="444"/>
      <c r="AP37" s="444"/>
      <c r="AQ37" s="444"/>
      <c r="AR37" s="444"/>
      <c r="AS37" s="444"/>
      <c r="AT37" s="444"/>
      <c r="AU37" s="444"/>
      <c r="AV37" s="444"/>
      <c r="AW37" s="444"/>
      <c r="AX37" s="444"/>
      <c r="AY37" s="444"/>
      <c r="AZ37" s="444"/>
      <c r="BA37" s="444"/>
      <c r="BB37" s="444"/>
      <c r="BC37" s="444"/>
      <c r="BD37" s="444"/>
      <c r="BE37" s="444"/>
      <c r="BF37" s="444"/>
    </row>
    <row r="38" spans="2:61" ht="18.75" customHeight="1" thickBot="1">
      <c r="B38" s="1124"/>
      <c r="C38" s="1124"/>
      <c r="D38" t="s">
        <v>676</v>
      </c>
      <c r="E38" s="446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4"/>
      <c r="AI38" s="444"/>
      <c r="AJ38" s="444"/>
      <c r="AK38" s="444"/>
      <c r="AL38" s="444"/>
      <c r="AM38" s="444"/>
      <c r="AN38" s="444"/>
      <c r="AO38" s="444"/>
      <c r="AP38" s="444"/>
      <c r="AQ38" s="444"/>
      <c r="AR38" s="444"/>
      <c r="AS38" s="444"/>
      <c r="AT38" s="444"/>
      <c r="AU38" s="440">
        <v>2.6669999999999998</v>
      </c>
      <c r="AV38" s="444"/>
      <c r="AW38" s="444"/>
      <c r="AX38" s="444"/>
      <c r="AY38" s="444"/>
      <c r="AZ38" s="444"/>
      <c r="BA38" s="444"/>
      <c r="BB38" s="444"/>
      <c r="BC38" s="444"/>
      <c r="BD38" s="444"/>
      <c r="BE38" s="444"/>
      <c r="BF38" s="444"/>
      <c r="BG38" s="21">
        <f t="shared" ref="BG38:BG47" si="2">+SUM(E38:BF38)</f>
        <v>2.6669999999999998</v>
      </c>
    </row>
    <row r="39" spans="2:61" ht="18.75" customHeight="1" thickBot="1">
      <c r="B39" s="1124"/>
      <c r="C39" s="1124"/>
      <c r="D39" s="445" t="s">
        <v>677</v>
      </c>
      <c r="E39" s="21">
        <f t="shared" ref="E39:BE39" si="3">+SUM(E21:E38)</f>
        <v>0</v>
      </c>
      <c r="F39" s="21">
        <f t="shared" si="3"/>
        <v>0</v>
      </c>
      <c r="G39" s="21">
        <f t="shared" si="3"/>
        <v>0</v>
      </c>
      <c r="H39" s="21">
        <f t="shared" si="3"/>
        <v>0</v>
      </c>
      <c r="I39" s="21">
        <f t="shared" si="3"/>
        <v>0</v>
      </c>
      <c r="J39" s="21">
        <f t="shared" si="3"/>
        <v>0</v>
      </c>
      <c r="K39" s="21">
        <f t="shared" si="3"/>
        <v>0</v>
      </c>
      <c r="L39" s="21">
        <f t="shared" si="3"/>
        <v>0</v>
      </c>
      <c r="M39" s="21">
        <f t="shared" si="3"/>
        <v>0</v>
      </c>
      <c r="N39" s="21">
        <f t="shared" si="3"/>
        <v>0</v>
      </c>
      <c r="O39" s="21">
        <f t="shared" si="3"/>
        <v>0</v>
      </c>
      <c r="P39" s="21">
        <f t="shared" si="3"/>
        <v>0</v>
      </c>
      <c r="Q39" s="21">
        <f t="shared" si="3"/>
        <v>0</v>
      </c>
      <c r="R39" s="21">
        <f t="shared" si="3"/>
        <v>0</v>
      </c>
      <c r="S39" s="21">
        <f t="shared" si="3"/>
        <v>0</v>
      </c>
      <c r="T39" s="21">
        <f t="shared" si="3"/>
        <v>0</v>
      </c>
      <c r="U39" s="21">
        <f t="shared" si="3"/>
        <v>0</v>
      </c>
      <c r="V39" s="21">
        <f t="shared" si="3"/>
        <v>0</v>
      </c>
      <c r="W39" s="21">
        <f t="shared" si="3"/>
        <v>0</v>
      </c>
      <c r="X39" s="21">
        <f t="shared" si="3"/>
        <v>0</v>
      </c>
      <c r="Y39" s="21">
        <f t="shared" si="3"/>
        <v>0</v>
      </c>
      <c r="Z39" s="21">
        <f t="shared" si="3"/>
        <v>0</v>
      </c>
      <c r="AA39" s="21">
        <f t="shared" si="3"/>
        <v>0</v>
      </c>
      <c r="AB39" s="21">
        <f t="shared" si="3"/>
        <v>0</v>
      </c>
      <c r="AC39" s="21">
        <f t="shared" si="3"/>
        <v>0</v>
      </c>
      <c r="AD39" s="21">
        <f t="shared" si="3"/>
        <v>0</v>
      </c>
      <c r="AE39" s="21">
        <f t="shared" si="3"/>
        <v>0</v>
      </c>
      <c r="AF39" s="21">
        <f t="shared" si="3"/>
        <v>0</v>
      </c>
      <c r="AG39" s="21">
        <f t="shared" si="3"/>
        <v>0</v>
      </c>
      <c r="AH39" s="21">
        <f t="shared" si="3"/>
        <v>0</v>
      </c>
      <c r="AI39" s="21">
        <f t="shared" si="3"/>
        <v>0</v>
      </c>
      <c r="AJ39" s="21">
        <f t="shared" si="3"/>
        <v>0</v>
      </c>
      <c r="AK39" s="21">
        <f t="shared" si="3"/>
        <v>0</v>
      </c>
      <c r="AL39" s="21">
        <f t="shared" si="3"/>
        <v>0</v>
      </c>
      <c r="AM39" s="21">
        <f t="shared" si="3"/>
        <v>0</v>
      </c>
      <c r="AN39" s="21">
        <f t="shared" si="3"/>
        <v>0</v>
      </c>
      <c r="AO39" s="21">
        <f t="shared" si="3"/>
        <v>0</v>
      </c>
      <c r="AP39" s="21">
        <f t="shared" si="3"/>
        <v>0</v>
      </c>
      <c r="AQ39" s="21">
        <f t="shared" si="3"/>
        <v>0</v>
      </c>
      <c r="AR39" s="21">
        <f t="shared" si="3"/>
        <v>0</v>
      </c>
      <c r="AS39" s="21">
        <f t="shared" si="3"/>
        <v>0</v>
      </c>
      <c r="AT39" s="21">
        <f t="shared" si="3"/>
        <v>0</v>
      </c>
      <c r="AU39" s="21">
        <f t="shared" si="3"/>
        <v>21.838000000000001</v>
      </c>
      <c r="AV39" s="21">
        <f t="shared" si="3"/>
        <v>0</v>
      </c>
      <c r="AW39" s="21">
        <f t="shared" si="3"/>
        <v>0</v>
      </c>
      <c r="AX39" s="21">
        <f t="shared" si="3"/>
        <v>0</v>
      </c>
      <c r="AY39" s="21">
        <f t="shared" si="3"/>
        <v>0</v>
      </c>
      <c r="AZ39" s="21">
        <f t="shared" si="3"/>
        <v>0</v>
      </c>
      <c r="BA39" s="21">
        <f t="shared" si="3"/>
        <v>0</v>
      </c>
      <c r="BB39" s="21">
        <f t="shared" si="3"/>
        <v>0</v>
      </c>
      <c r="BC39" s="21">
        <f t="shared" si="3"/>
        <v>0</v>
      </c>
      <c r="BD39" s="21">
        <f t="shared" si="3"/>
        <v>0</v>
      </c>
      <c r="BE39" s="21">
        <f t="shared" si="3"/>
        <v>0</v>
      </c>
      <c r="BF39" s="21">
        <f>+SUM(BF21:BF38)</f>
        <v>0</v>
      </c>
      <c r="BG39" s="445">
        <f t="shared" si="2"/>
        <v>21.838000000000001</v>
      </c>
    </row>
    <row r="40" spans="2:61" ht="18.75" customHeight="1" thickBot="1">
      <c r="B40" s="972"/>
      <c r="C40" s="972"/>
      <c r="D40" s="445"/>
      <c r="BG40" s="445"/>
    </row>
    <row r="41" spans="2:61" ht="18.75" customHeight="1" thickBot="1">
      <c r="B41" s="972"/>
      <c r="C41" s="972"/>
      <c r="D41" s="445"/>
      <c r="BG41" s="445"/>
    </row>
    <row r="42" spans="2:61" ht="50.25" customHeight="1" thickBot="1">
      <c r="B42" s="1125" t="s">
        <v>678</v>
      </c>
      <c r="C42" s="1125"/>
      <c r="D42" s="447" t="s">
        <v>679</v>
      </c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4"/>
      <c r="X42" s="448"/>
      <c r="Y42" s="444"/>
      <c r="Z42" s="444"/>
      <c r="AA42" s="444"/>
      <c r="AB42" s="444"/>
      <c r="AC42" s="21">
        <v>1.518</v>
      </c>
      <c r="AD42" s="444"/>
      <c r="AE42" s="444"/>
      <c r="AF42" s="444"/>
      <c r="AG42" s="444"/>
      <c r="AH42" s="444"/>
      <c r="AI42" s="444"/>
      <c r="AJ42" s="444"/>
      <c r="AK42" s="444"/>
      <c r="AL42" s="444"/>
      <c r="AM42" s="444"/>
      <c r="AN42" s="444"/>
      <c r="AO42" s="444"/>
      <c r="AP42" s="444"/>
      <c r="AQ42" s="444"/>
      <c r="AR42" s="444"/>
      <c r="AS42" s="444"/>
      <c r="AT42" s="444"/>
      <c r="AU42" s="444"/>
      <c r="AV42" s="444"/>
      <c r="AW42" s="444"/>
      <c r="AX42" s="444"/>
      <c r="AY42" s="444"/>
      <c r="AZ42" s="444"/>
      <c r="BA42" s="444"/>
      <c r="BB42" s="444"/>
      <c r="BC42" s="444"/>
      <c r="BD42" s="444"/>
      <c r="BE42" s="444"/>
      <c r="BF42" s="444"/>
      <c r="BG42" s="445">
        <f t="shared" si="2"/>
        <v>1.518</v>
      </c>
      <c r="BI42" s="10" t="s">
        <v>742</v>
      </c>
    </row>
    <row r="43" spans="2:61">
      <c r="B43" s="1125" t="s">
        <v>680</v>
      </c>
      <c r="C43" s="1125"/>
      <c r="D43" s="21" t="s">
        <v>681</v>
      </c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8">
        <f>0.121*E73</f>
        <v>0.121</v>
      </c>
      <c r="Q43" s="444"/>
      <c r="R43" s="444"/>
      <c r="S43" s="444"/>
      <c r="T43" s="448">
        <f>0.298*E73</f>
        <v>0.29799999999999999</v>
      </c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  <c r="AJ43" s="444"/>
      <c r="AK43" s="444"/>
      <c r="AL43" s="444"/>
      <c r="AM43" s="444"/>
      <c r="AN43" s="444"/>
      <c r="AO43" s="444"/>
      <c r="AP43" s="444"/>
      <c r="AQ43" s="444"/>
      <c r="AR43" s="444"/>
      <c r="AS43" s="444"/>
      <c r="AT43" s="444"/>
      <c r="AU43" s="444"/>
      <c r="AV43" s="444"/>
      <c r="AW43" s="444"/>
      <c r="AX43" s="444"/>
      <c r="AY43" s="444"/>
      <c r="AZ43" s="444"/>
      <c r="BA43" s="444"/>
      <c r="BB43" s="444"/>
      <c r="BC43" s="444"/>
      <c r="BD43" s="444"/>
      <c r="BE43" s="444"/>
      <c r="BF43" s="444"/>
      <c r="BG43" s="21">
        <f t="shared" si="2"/>
        <v>0.41899999999999998</v>
      </c>
      <c r="BI43" s="10">
        <f>+BG43+0.078</f>
        <v>0.497</v>
      </c>
    </row>
    <row r="44" spans="2:61">
      <c r="B44" s="1126"/>
      <c r="C44" s="1126"/>
      <c r="D44" s="21" t="s">
        <v>682</v>
      </c>
      <c r="P44" s="21">
        <f>0.171*E73</f>
        <v>0.17100000000000001</v>
      </c>
      <c r="T44" s="21">
        <f>0.036*E73</f>
        <v>3.5999999999999997E-2</v>
      </c>
      <c r="BG44" s="21">
        <f t="shared" si="2"/>
        <v>0.20700000000000002</v>
      </c>
      <c r="BI44" s="10">
        <f>+BG44</f>
        <v>0.20700000000000002</v>
      </c>
    </row>
    <row r="45" spans="2:61">
      <c r="B45" s="1126"/>
      <c r="C45" s="1126"/>
      <c r="D45" s="21" t="s">
        <v>683</v>
      </c>
      <c r="P45" s="440">
        <f>3.8*E73</f>
        <v>3.8</v>
      </c>
      <c r="AB45" s="440">
        <f>5.1*E73</f>
        <v>5.0999999999999996</v>
      </c>
      <c r="AI45" s="440">
        <f>1.7*E73</f>
        <v>1.7</v>
      </c>
      <c r="BG45" s="440">
        <f t="shared" si="2"/>
        <v>10.599999999999998</v>
      </c>
      <c r="BI45" s="582">
        <f>+BG45+0.1</f>
        <v>10.699999999999998</v>
      </c>
    </row>
    <row r="46" spans="2:61">
      <c r="B46" s="1126"/>
      <c r="C46" s="1126"/>
      <c r="D46" s="21" t="s">
        <v>740</v>
      </c>
      <c r="P46" s="21">
        <f>1.755*E73</f>
        <v>1.7549999999999999</v>
      </c>
      <c r="AB46" s="21">
        <f>1.425*E73</f>
        <v>1.425</v>
      </c>
      <c r="AI46" s="440">
        <f>0.285*E73</f>
        <v>0.28499999999999998</v>
      </c>
      <c r="AZ46" s="440">
        <f>0.34*E73</f>
        <v>0.34</v>
      </c>
      <c r="BF46" s="440">
        <f>0.42*E73</f>
        <v>0.42</v>
      </c>
      <c r="BG46" s="440">
        <f t="shared" si="2"/>
        <v>4.2249999999999996</v>
      </c>
      <c r="BI46" s="582">
        <f>+BG46</f>
        <v>4.2249999999999996</v>
      </c>
    </row>
    <row r="47" spans="2:61" ht="13.5" thickBot="1">
      <c r="B47" s="1126"/>
      <c r="C47" s="1126"/>
      <c r="D47" s="21" t="s">
        <v>741</v>
      </c>
      <c r="P47" s="21">
        <f>0.558*E73</f>
        <v>0.55800000000000005</v>
      </c>
      <c r="AB47" s="21">
        <f>0.612*E73</f>
        <v>0.61199999999999999</v>
      </c>
      <c r="AI47" s="440">
        <f>0.175*E73</f>
        <v>0.17499999999999999</v>
      </c>
      <c r="AZ47" s="21">
        <f>0.253*E73</f>
        <v>0.253</v>
      </c>
      <c r="BF47" s="21">
        <f>0.372*E73</f>
        <v>0.372</v>
      </c>
      <c r="BG47" s="440">
        <f t="shared" si="2"/>
        <v>1.9699999999999998</v>
      </c>
      <c r="BI47" s="582">
        <f>+BG47+0.784</f>
        <v>2.7539999999999996</v>
      </c>
    </row>
    <row r="48" spans="2:61" ht="13.5" thickBot="1">
      <c r="B48" s="1127"/>
      <c r="C48" s="1127"/>
      <c r="D48" s="445" t="s">
        <v>684</v>
      </c>
      <c r="E48" s="22">
        <f>+SUM(E43:E47)</f>
        <v>0</v>
      </c>
      <c r="F48" s="22">
        <f t="shared" ref="F48:BG48" si="4">+SUM(F43:F47)</f>
        <v>0</v>
      </c>
      <c r="G48" s="22">
        <f t="shared" si="4"/>
        <v>0</v>
      </c>
      <c r="H48" s="22">
        <f t="shared" si="4"/>
        <v>0</v>
      </c>
      <c r="I48" s="22">
        <f t="shared" si="4"/>
        <v>0</v>
      </c>
      <c r="J48" s="22">
        <f t="shared" si="4"/>
        <v>0</v>
      </c>
      <c r="K48" s="22">
        <f t="shared" si="4"/>
        <v>0</v>
      </c>
      <c r="L48" s="22">
        <f t="shared" si="4"/>
        <v>0</v>
      </c>
      <c r="M48" s="22">
        <f t="shared" si="4"/>
        <v>0</v>
      </c>
      <c r="N48" s="22">
        <f t="shared" si="4"/>
        <v>0</v>
      </c>
      <c r="O48" s="22">
        <f t="shared" si="4"/>
        <v>0</v>
      </c>
      <c r="P48" s="21">
        <f t="shared" si="4"/>
        <v>6.4049999999999994</v>
      </c>
      <c r="Q48" s="21">
        <f t="shared" si="4"/>
        <v>0</v>
      </c>
      <c r="R48" s="21">
        <f t="shared" si="4"/>
        <v>0</v>
      </c>
      <c r="S48" s="21">
        <f t="shared" si="4"/>
        <v>0</v>
      </c>
      <c r="T48" s="21">
        <f t="shared" si="4"/>
        <v>0.33399999999999996</v>
      </c>
      <c r="U48" s="21">
        <f t="shared" si="4"/>
        <v>0</v>
      </c>
      <c r="V48" s="21">
        <f t="shared" si="4"/>
        <v>0</v>
      </c>
      <c r="W48" s="21">
        <f t="shared" si="4"/>
        <v>0</v>
      </c>
      <c r="X48" s="21">
        <f t="shared" si="4"/>
        <v>0</v>
      </c>
      <c r="Y48" s="21">
        <f t="shared" si="4"/>
        <v>0</v>
      </c>
      <c r="Z48" s="21">
        <f t="shared" si="4"/>
        <v>0</v>
      </c>
      <c r="AA48" s="21">
        <f t="shared" si="4"/>
        <v>0</v>
      </c>
      <c r="AB48" s="21">
        <f t="shared" si="4"/>
        <v>7.1369999999999996</v>
      </c>
      <c r="AC48" s="21">
        <f t="shared" si="4"/>
        <v>0</v>
      </c>
      <c r="AD48" s="21">
        <f t="shared" si="4"/>
        <v>0</v>
      </c>
      <c r="AE48" s="21">
        <f t="shared" si="4"/>
        <v>0</v>
      </c>
      <c r="AF48" s="21">
        <f t="shared" si="4"/>
        <v>0</v>
      </c>
      <c r="AG48" s="21">
        <f t="shared" si="4"/>
        <v>0</v>
      </c>
      <c r="AH48" s="21">
        <f t="shared" si="4"/>
        <v>0</v>
      </c>
      <c r="AI48" s="21">
        <f t="shared" si="4"/>
        <v>2.1599999999999997</v>
      </c>
      <c r="AJ48" s="21">
        <f t="shared" si="4"/>
        <v>0</v>
      </c>
      <c r="AK48" s="21">
        <f t="shared" si="4"/>
        <v>0</v>
      </c>
      <c r="AL48" s="21">
        <f t="shared" si="4"/>
        <v>0</v>
      </c>
      <c r="AM48" s="21">
        <f t="shared" si="4"/>
        <v>0</v>
      </c>
      <c r="AN48" s="21">
        <f t="shared" si="4"/>
        <v>0</v>
      </c>
      <c r="AO48" s="21">
        <f t="shared" si="4"/>
        <v>0</v>
      </c>
      <c r="AP48" s="21">
        <f t="shared" si="4"/>
        <v>0</v>
      </c>
      <c r="AQ48" s="21">
        <f t="shared" si="4"/>
        <v>0</v>
      </c>
      <c r="AR48" s="21">
        <f t="shared" si="4"/>
        <v>0</v>
      </c>
      <c r="AS48" s="21">
        <f t="shared" si="4"/>
        <v>0</v>
      </c>
      <c r="AT48" s="21">
        <f t="shared" si="4"/>
        <v>0</v>
      </c>
      <c r="AU48" s="21">
        <f t="shared" si="4"/>
        <v>0</v>
      </c>
      <c r="AV48" s="21">
        <f t="shared" si="4"/>
        <v>0</v>
      </c>
      <c r="AW48" s="21">
        <f t="shared" si="4"/>
        <v>0</v>
      </c>
      <c r="AX48" s="21">
        <f t="shared" si="4"/>
        <v>0</v>
      </c>
      <c r="AY48" s="21">
        <f t="shared" si="4"/>
        <v>0</v>
      </c>
      <c r="AZ48" s="21">
        <f t="shared" si="4"/>
        <v>0.59299999999999997</v>
      </c>
      <c r="BA48" s="21">
        <f t="shared" si="4"/>
        <v>0</v>
      </c>
      <c r="BB48" s="21">
        <f t="shared" si="4"/>
        <v>0</v>
      </c>
      <c r="BC48" s="21">
        <f t="shared" si="4"/>
        <v>0</v>
      </c>
      <c r="BD48" s="21">
        <f t="shared" si="4"/>
        <v>0</v>
      </c>
      <c r="BE48" s="21">
        <f t="shared" si="4"/>
        <v>0</v>
      </c>
      <c r="BF48" s="21">
        <f t="shared" si="4"/>
        <v>0.79200000000000004</v>
      </c>
      <c r="BG48" s="445">
        <f t="shared" si="4"/>
        <v>17.420999999999996</v>
      </c>
      <c r="BI48" s="10">
        <f>+SUM(BI43:BI47)</f>
        <v>18.382999999999996</v>
      </c>
    </row>
    <row r="49" spans="2:60">
      <c r="B49" s="1123" t="s">
        <v>685</v>
      </c>
      <c r="C49" s="1123" t="s">
        <v>648</v>
      </c>
      <c r="D49" s="27" t="s">
        <v>686</v>
      </c>
      <c r="E49" s="446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4"/>
      <c r="AG49" s="444"/>
      <c r="AH49" s="444"/>
      <c r="AI49" s="444"/>
      <c r="AJ49" s="444"/>
      <c r="AK49" s="444"/>
      <c r="AL49" s="444"/>
      <c r="AM49" s="444"/>
      <c r="AN49" s="444"/>
      <c r="AO49" s="444"/>
      <c r="AP49" s="444"/>
      <c r="AQ49" s="444"/>
      <c r="AR49" s="444"/>
      <c r="AS49" s="444"/>
      <c r="AT49" s="444"/>
      <c r="AU49" s="444"/>
      <c r="AV49" s="444"/>
      <c r="AW49" s="444"/>
      <c r="AX49" s="444"/>
      <c r="AY49" s="444"/>
      <c r="AZ49" s="444"/>
      <c r="BA49" s="444"/>
      <c r="BB49" s="444"/>
      <c r="BC49" s="444"/>
      <c r="BD49" s="444"/>
      <c r="BE49" s="444"/>
      <c r="BF49" s="444"/>
    </row>
    <row r="50" spans="2:60">
      <c r="B50" s="1123"/>
      <c r="C50" s="1123"/>
      <c r="D50" s="21" t="s">
        <v>687</v>
      </c>
      <c r="E50" s="440">
        <v>0.48699999999999999</v>
      </c>
      <c r="F50" s="444"/>
      <c r="G50" s="444"/>
      <c r="H50" s="444"/>
      <c r="I50" s="444"/>
      <c r="J50" s="440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4"/>
      <c r="X50" s="444"/>
      <c r="Y50" s="444"/>
      <c r="Z50" s="444"/>
      <c r="AA50" s="444"/>
      <c r="AB50" s="444"/>
      <c r="AC50" s="444"/>
      <c r="AD50" s="444"/>
      <c r="AE50" s="444"/>
      <c r="AF50" s="444"/>
      <c r="AG50" s="444"/>
      <c r="AH50" s="444"/>
      <c r="AI50" s="444"/>
      <c r="AJ50" s="444"/>
      <c r="AK50" s="444"/>
      <c r="AL50" s="444"/>
      <c r="AM50" s="444"/>
      <c r="AN50" s="444"/>
      <c r="AO50" s="444"/>
      <c r="AP50" s="444"/>
      <c r="AQ50" s="444"/>
      <c r="AR50" s="444"/>
      <c r="AS50" s="444"/>
      <c r="AT50" s="444"/>
      <c r="AU50" s="444"/>
      <c r="AV50" s="444"/>
      <c r="AW50" s="444"/>
      <c r="AX50" s="444"/>
      <c r="AY50" s="444"/>
      <c r="AZ50" s="444"/>
      <c r="BA50" s="444"/>
      <c r="BB50" s="444"/>
      <c r="BC50" s="444"/>
      <c r="BD50" s="444"/>
      <c r="BE50" s="444"/>
      <c r="BF50" s="444"/>
      <c r="BG50" s="21">
        <f t="shared" ref="BG50:BG57" si="5">+SUM(E50:BF50)</f>
        <v>0.48699999999999999</v>
      </c>
    </row>
    <row r="51" spans="2:60">
      <c r="B51" s="1123"/>
      <c r="C51" s="1123"/>
      <c r="D51" s="21" t="s">
        <v>688</v>
      </c>
      <c r="E51" s="446"/>
      <c r="F51" s="444"/>
      <c r="G51" s="444"/>
      <c r="H51" s="444"/>
      <c r="I51" s="444"/>
      <c r="J51" s="444"/>
      <c r="K51" s="444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4"/>
      <c r="X51" s="444"/>
      <c r="Y51" s="444"/>
      <c r="Z51" s="444"/>
      <c r="AA51" s="444"/>
      <c r="AB51" s="444"/>
      <c r="AC51" s="444"/>
      <c r="AD51" s="444"/>
      <c r="AE51" s="440">
        <v>1.4790000000000001</v>
      </c>
      <c r="AF51" s="444"/>
      <c r="AG51" s="444"/>
      <c r="AH51" s="444"/>
      <c r="AI51" s="444"/>
      <c r="AJ51" s="444"/>
      <c r="AK51" s="444"/>
      <c r="AL51" s="444"/>
      <c r="AM51" s="444"/>
      <c r="AN51" s="444"/>
      <c r="AO51" s="444"/>
      <c r="AP51" s="444"/>
      <c r="AQ51" s="444"/>
      <c r="AR51" s="444"/>
      <c r="AS51" s="444"/>
      <c r="AT51" s="444"/>
      <c r="AU51" s="444"/>
      <c r="AV51" s="444"/>
      <c r="AW51" s="444"/>
      <c r="AX51" s="444"/>
      <c r="AY51" s="444"/>
      <c r="AZ51" s="444"/>
      <c r="BA51" s="444"/>
      <c r="BB51" s="444"/>
      <c r="BC51" s="444"/>
      <c r="BD51" s="444"/>
      <c r="BE51" s="444"/>
      <c r="BF51" s="444"/>
      <c r="BG51" s="21">
        <f t="shared" si="5"/>
        <v>1.4790000000000001</v>
      </c>
    </row>
    <row r="52" spans="2:60">
      <c r="B52" s="1123"/>
      <c r="C52" s="1123"/>
      <c r="D52" s="27" t="s">
        <v>689</v>
      </c>
      <c r="E52" s="446"/>
      <c r="F52" s="444"/>
      <c r="G52" s="444"/>
      <c r="H52" s="444"/>
      <c r="I52" s="444"/>
      <c r="J52" s="444"/>
      <c r="K52" s="444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4"/>
      <c r="AG52" s="444"/>
      <c r="AH52" s="444"/>
      <c r="AI52" s="444"/>
      <c r="AJ52" s="444"/>
      <c r="AK52" s="444"/>
      <c r="AL52" s="444"/>
      <c r="AM52" s="444"/>
      <c r="AN52" s="444"/>
      <c r="AO52" s="444"/>
      <c r="AP52" s="444"/>
      <c r="AQ52" s="444"/>
      <c r="AR52" s="444"/>
      <c r="AS52" s="444"/>
      <c r="AT52" s="444"/>
      <c r="AU52" s="444"/>
      <c r="AV52" s="444"/>
      <c r="AW52" s="444"/>
      <c r="AX52" s="444"/>
      <c r="AY52" s="444"/>
      <c r="AZ52" s="444"/>
      <c r="BA52" s="444"/>
      <c r="BB52" s="444"/>
      <c r="BC52" s="444"/>
      <c r="BD52" s="444"/>
      <c r="BE52" s="444"/>
      <c r="BF52" s="444"/>
      <c r="BG52" s="21">
        <f t="shared" si="5"/>
        <v>0</v>
      </c>
    </row>
    <row r="53" spans="2:60">
      <c r="B53" s="1123"/>
      <c r="C53" s="1123"/>
      <c r="D53" s="21" t="s">
        <v>690</v>
      </c>
      <c r="E53" s="440"/>
      <c r="F53" s="444"/>
      <c r="G53" s="444"/>
      <c r="H53" s="444"/>
      <c r="I53" s="444"/>
      <c r="J53" s="444"/>
      <c r="K53" s="444"/>
      <c r="L53" s="444"/>
      <c r="M53" s="444"/>
      <c r="N53" s="444"/>
      <c r="O53" s="440">
        <f>0.06</f>
        <v>0.06</v>
      </c>
      <c r="P53" s="444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444"/>
      <c r="AH53" s="444"/>
      <c r="AI53" s="444"/>
      <c r="AJ53" s="444"/>
      <c r="AK53" s="444"/>
      <c r="AL53" s="444"/>
      <c r="AM53" s="444"/>
      <c r="AN53" s="444"/>
      <c r="AO53" s="444"/>
      <c r="AP53" s="444"/>
      <c r="AQ53" s="444"/>
      <c r="AR53" s="444"/>
      <c r="AS53" s="444"/>
      <c r="AT53" s="444"/>
      <c r="AU53" s="444"/>
      <c r="AV53" s="444"/>
      <c r="AW53" s="444"/>
      <c r="AX53" s="444"/>
      <c r="AY53" s="444"/>
      <c r="AZ53" s="444"/>
      <c r="BA53" s="444"/>
      <c r="BB53" s="444"/>
      <c r="BC53" s="444"/>
      <c r="BD53" s="444"/>
      <c r="BE53" s="444"/>
      <c r="BF53" s="444"/>
      <c r="BG53" s="21">
        <f t="shared" si="5"/>
        <v>0.06</v>
      </c>
    </row>
    <row r="54" spans="2:60">
      <c r="B54" s="1123"/>
      <c r="C54" s="1123"/>
      <c r="D54" s="21" t="s">
        <v>691</v>
      </c>
      <c r="E54" s="440">
        <f>0.144*$E$71</f>
        <v>0</v>
      </c>
      <c r="F54" s="444"/>
      <c r="G54" s="444"/>
      <c r="H54" s="444"/>
      <c r="I54" s="444"/>
      <c r="J54" s="444"/>
      <c r="K54" s="444"/>
      <c r="L54" s="444"/>
      <c r="M54" s="444"/>
      <c r="N54" s="444"/>
      <c r="O54" s="444"/>
      <c r="P54" s="444"/>
      <c r="Q54" s="444"/>
      <c r="R54" s="444"/>
      <c r="S54" s="444"/>
      <c r="T54" s="444"/>
      <c r="U54" s="444"/>
      <c r="V54" s="444"/>
      <c r="W54" s="444"/>
      <c r="X54" s="444"/>
      <c r="Y54" s="444"/>
      <c r="Z54" s="444"/>
      <c r="AA54" s="444"/>
      <c r="AB54" s="444"/>
      <c r="AC54" s="444"/>
      <c r="AD54" s="444"/>
      <c r="AE54" s="444"/>
      <c r="AF54" s="444"/>
      <c r="AG54" s="444"/>
      <c r="AH54" s="444"/>
      <c r="AI54" s="444"/>
      <c r="AJ54" s="444"/>
      <c r="AK54" s="444"/>
      <c r="AL54" s="444"/>
      <c r="AM54" s="444"/>
      <c r="AN54" s="444"/>
      <c r="AO54" s="444"/>
      <c r="AP54" s="444"/>
      <c r="AQ54" s="444"/>
      <c r="AR54" s="444"/>
      <c r="AS54" s="444"/>
      <c r="AT54" s="444"/>
      <c r="AU54" s="444"/>
      <c r="AV54" s="444"/>
      <c r="AW54" s="444"/>
      <c r="AX54" s="444"/>
      <c r="AY54" s="444"/>
      <c r="AZ54" s="444"/>
      <c r="BA54" s="444"/>
      <c r="BB54" s="444"/>
      <c r="BC54" s="444"/>
      <c r="BD54" s="444"/>
      <c r="BE54" s="444"/>
      <c r="BF54" s="444"/>
      <c r="BG54" s="21">
        <f t="shared" si="5"/>
        <v>0</v>
      </c>
    </row>
    <row r="55" spans="2:60">
      <c r="B55" s="1123"/>
      <c r="C55" s="1123"/>
      <c r="D55" s="21" t="s">
        <v>692</v>
      </c>
      <c r="E55" s="444"/>
      <c r="F55" s="444"/>
      <c r="G55" s="444"/>
      <c r="H55" s="444"/>
      <c r="I55" s="444"/>
      <c r="J55" s="444"/>
      <c r="K55" s="444"/>
      <c r="L55" s="444"/>
      <c r="M55" s="444"/>
      <c r="N55" s="444"/>
      <c r="O55" s="444"/>
      <c r="P55" s="444"/>
      <c r="Q55" s="444"/>
      <c r="R55" s="448">
        <v>0.66500000000000004</v>
      </c>
      <c r="S55" s="444"/>
      <c r="T55" s="444"/>
      <c r="U55" s="444"/>
      <c r="V55" s="444"/>
      <c r="W55" s="444"/>
      <c r="X55" s="444"/>
      <c r="Y55" s="444"/>
      <c r="Z55" s="444"/>
      <c r="AA55" s="444"/>
      <c r="AB55" s="448"/>
      <c r="AC55" s="444"/>
      <c r="AD55" s="444"/>
      <c r="AE55" s="444"/>
      <c r="AF55" s="444"/>
      <c r="AG55" s="444"/>
      <c r="AH55" s="444"/>
      <c r="AI55" s="444"/>
      <c r="AJ55" s="444"/>
      <c r="AK55" s="444"/>
      <c r="AL55" s="444"/>
      <c r="AM55" s="444"/>
      <c r="AN55" s="444"/>
      <c r="AO55" s="444"/>
      <c r="AP55" s="444"/>
      <c r="AQ55" s="444"/>
      <c r="AR55" s="444"/>
      <c r="AS55" s="444"/>
      <c r="AT55" s="444"/>
      <c r="AU55" s="444"/>
      <c r="AV55" s="444"/>
      <c r="AW55" s="444"/>
      <c r="AX55" s="444"/>
      <c r="AY55" s="444"/>
      <c r="AZ55" s="444"/>
      <c r="BA55" s="444"/>
      <c r="BB55" s="444"/>
      <c r="BC55" s="444"/>
      <c r="BD55" s="444"/>
      <c r="BE55" s="444"/>
      <c r="BF55" s="444"/>
      <c r="BG55" s="21">
        <f t="shared" si="5"/>
        <v>0.66500000000000004</v>
      </c>
    </row>
    <row r="56" spans="2:60">
      <c r="B56" s="1123"/>
      <c r="C56" s="1123"/>
      <c r="D56" s="21" t="s">
        <v>693</v>
      </c>
      <c r="E56" s="444"/>
      <c r="F56" s="444"/>
      <c r="G56" s="444"/>
      <c r="H56" s="444"/>
      <c r="I56" s="444"/>
      <c r="J56" s="444"/>
      <c r="K56" s="444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4"/>
      <c r="X56" s="444"/>
      <c r="Y56" s="444"/>
      <c r="Z56" s="444"/>
      <c r="AA56" s="444"/>
      <c r="AB56" s="448"/>
      <c r="AC56" s="448">
        <v>0.69499999999999995</v>
      </c>
      <c r="AD56" s="444"/>
      <c r="AE56" s="444"/>
      <c r="AF56" s="444"/>
      <c r="AG56" s="444"/>
      <c r="AH56" s="444"/>
      <c r="AI56" s="444"/>
      <c r="AJ56" s="444"/>
      <c r="AK56" s="444"/>
      <c r="AL56" s="444"/>
      <c r="AM56" s="444"/>
      <c r="AN56" s="444"/>
      <c r="AO56" s="444"/>
      <c r="AP56" s="444"/>
      <c r="AQ56" s="444"/>
      <c r="AR56" s="444"/>
      <c r="AS56" s="444"/>
      <c r="AT56" s="444"/>
      <c r="AU56" s="444"/>
      <c r="AV56" s="444"/>
      <c r="AW56" s="444"/>
      <c r="AX56" s="444"/>
      <c r="AY56" s="444"/>
      <c r="AZ56" s="444"/>
      <c r="BA56" s="444"/>
      <c r="BB56" s="444"/>
      <c r="BC56" s="444"/>
      <c r="BD56" s="444"/>
      <c r="BE56" s="444"/>
      <c r="BF56" s="444"/>
      <c r="BG56" s="21">
        <f t="shared" si="5"/>
        <v>0.69499999999999995</v>
      </c>
    </row>
    <row r="57" spans="2:60">
      <c r="B57" s="1123"/>
      <c r="C57" s="1123"/>
      <c r="D57" s="21" t="s">
        <v>694</v>
      </c>
      <c r="E57" s="444"/>
      <c r="F57" s="444"/>
      <c r="G57" s="444"/>
      <c r="H57" s="444"/>
      <c r="I57" s="444"/>
      <c r="J57" s="444"/>
      <c r="K57" s="444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4"/>
      <c r="X57" s="444"/>
      <c r="Y57" s="444"/>
      <c r="Z57" s="444"/>
      <c r="AA57" s="444"/>
      <c r="AB57" s="444"/>
      <c r="AC57" s="444"/>
      <c r="AD57" s="444"/>
      <c r="AE57" s="444"/>
      <c r="AF57" s="444"/>
      <c r="AG57" s="444"/>
      <c r="AH57" s="444"/>
      <c r="AI57" s="444"/>
      <c r="AJ57" s="444"/>
      <c r="AK57" s="444"/>
      <c r="AL57" s="444"/>
      <c r="AM57" s="444"/>
      <c r="AN57" s="440"/>
      <c r="AO57" s="440">
        <v>0.69499999999999995</v>
      </c>
      <c r="AP57" s="444"/>
      <c r="AQ57" s="444"/>
      <c r="AR57" s="444"/>
      <c r="AS57" s="444"/>
      <c r="AT57" s="444"/>
      <c r="AU57" s="444"/>
      <c r="AV57" s="444"/>
      <c r="AW57" s="444"/>
      <c r="AX57" s="444"/>
      <c r="AY57" s="444"/>
      <c r="AZ57" s="444"/>
      <c r="BA57" s="444"/>
      <c r="BB57" s="444"/>
      <c r="BC57" s="444"/>
      <c r="BD57" s="444"/>
      <c r="BE57" s="444"/>
      <c r="BF57" s="444"/>
      <c r="BG57" s="21">
        <f t="shared" si="5"/>
        <v>0.69499999999999995</v>
      </c>
    </row>
    <row r="58" spans="2:60" ht="15" customHeight="1">
      <c r="B58" s="1123"/>
      <c r="C58" s="1123" t="s">
        <v>695</v>
      </c>
      <c r="D58" s="27" t="s">
        <v>696</v>
      </c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444"/>
      <c r="Y58" s="444"/>
      <c r="Z58" s="444"/>
      <c r="AA58" s="444"/>
      <c r="AB58" s="444"/>
      <c r="AC58" s="444"/>
      <c r="AD58" s="444"/>
      <c r="AE58" s="444"/>
      <c r="AF58" s="444"/>
      <c r="AG58" s="444"/>
      <c r="AH58" s="444"/>
      <c r="AI58" s="444"/>
      <c r="AJ58" s="444"/>
      <c r="AK58" s="444"/>
      <c r="AL58" s="444"/>
      <c r="AM58" s="444"/>
      <c r="AN58" s="444"/>
      <c r="AO58" s="444"/>
      <c r="AP58" s="444"/>
      <c r="AQ58" s="444"/>
      <c r="AR58" s="444"/>
      <c r="AS58" s="444"/>
      <c r="AT58" s="444"/>
      <c r="AU58" s="444"/>
      <c r="AV58" s="444"/>
      <c r="AW58" s="444"/>
      <c r="AX58" s="444"/>
      <c r="AY58" s="444"/>
      <c r="AZ58" s="444"/>
      <c r="BA58" s="444"/>
      <c r="BB58" s="444"/>
      <c r="BC58" s="444"/>
      <c r="BD58" s="444"/>
      <c r="BE58" s="444"/>
      <c r="BF58" s="444"/>
    </row>
    <row r="59" spans="2:60" ht="15" customHeight="1" thickBot="1">
      <c r="B59" s="1123"/>
      <c r="C59" s="1123"/>
      <c r="D59" s="21" t="s">
        <v>697</v>
      </c>
      <c r="E59" s="444"/>
      <c r="F59" s="444"/>
      <c r="G59" s="444"/>
      <c r="H59" s="444"/>
      <c r="I59" s="444"/>
      <c r="J59" s="444"/>
      <c r="K59" s="444"/>
      <c r="L59" s="444"/>
      <c r="M59" s="444"/>
      <c r="N59" s="444"/>
      <c r="O59" s="444"/>
      <c r="P59" s="444"/>
      <c r="Q59" s="444"/>
      <c r="R59" s="444"/>
      <c r="S59" s="444"/>
      <c r="T59" s="444"/>
      <c r="U59" s="444"/>
      <c r="V59" s="444"/>
      <c r="W59" s="444"/>
      <c r="X59" s="444"/>
      <c r="Y59" s="444"/>
      <c r="Z59" s="444"/>
      <c r="AA59" s="444"/>
      <c r="AB59" s="444"/>
      <c r="AC59" s="444"/>
      <c r="AD59" s="444"/>
      <c r="AE59" s="444"/>
      <c r="AF59" s="444"/>
      <c r="AG59" s="444"/>
      <c r="AH59" s="444"/>
      <c r="AI59" s="444"/>
      <c r="AJ59" s="444"/>
      <c r="AK59" s="444"/>
      <c r="AL59" s="444"/>
      <c r="AM59" s="444"/>
      <c r="AN59" s="444"/>
      <c r="AO59" s="444"/>
      <c r="AP59" s="444"/>
      <c r="AQ59" s="444"/>
      <c r="AR59" s="444"/>
      <c r="AS59" s="444"/>
      <c r="AT59" s="444"/>
      <c r="AU59" s="440">
        <v>3.306</v>
      </c>
      <c r="AV59" s="444"/>
      <c r="AW59" s="444"/>
      <c r="AX59" s="444"/>
      <c r="AY59" s="444"/>
      <c r="AZ59" s="444"/>
      <c r="BA59" s="444"/>
      <c r="BB59" s="444"/>
      <c r="BC59" s="444"/>
      <c r="BD59" s="444"/>
      <c r="BE59" s="444"/>
      <c r="BF59" s="444"/>
      <c r="BG59" s="21">
        <f t="shared" ref="BG59:BG68" si="6">+SUM(E59:BF59)</f>
        <v>3.306</v>
      </c>
    </row>
    <row r="60" spans="2:60" ht="15" customHeight="1" thickBot="1">
      <c r="B60" s="1128"/>
      <c r="C60" s="449"/>
      <c r="D60" s="445" t="s">
        <v>698</v>
      </c>
      <c r="E60" s="22">
        <f t="shared" ref="E60:BE60" si="7">+E20+E39+E42+SUM(E49:E59)</f>
        <v>0.48699999999999999</v>
      </c>
      <c r="F60" s="22">
        <f t="shared" si="7"/>
        <v>0</v>
      </c>
      <c r="G60" s="22">
        <f t="shared" si="7"/>
        <v>0.94199999999999995</v>
      </c>
      <c r="H60" s="22">
        <f t="shared" si="7"/>
        <v>21.651566321428614</v>
      </c>
      <c r="I60" s="22">
        <f t="shared" si="7"/>
        <v>0</v>
      </c>
      <c r="J60" s="22">
        <f t="shared" si="7"/>
        <v>0</v>
      </c>
      <c r="K60" s="22">
        <f t="shared" si="7"/>
        <v>0</v>
      </c>
      <c r="L60" s="22">
        <f t="shared" si="7"/>
        <v>0</v>
      </c>
      <c r="M60" s="22">
        <f t="shared" si="7"/>
        <v>0</v>
      </c>
      <c r="N60" s="22">
        <f t="shared" si="7"/>
        <v>0</v>
      </c>
      <c r="O60" s="22">
        <f t="shared" si="7"/>
        <v>0.06</v>
      </c>
      <c r="P60" s="22">
        <f t="shared" si="7"/>
        <v>0</v>
      </c>
      <c r="Q60" s="22">
        <f t="shared" si="7"/>
        <v>0</v>
      </c>
      <c r="R60" s="22">
        <f t="shared" si="7"/>
        <v>0.66500000000000004</v>
      </c>
      <c r="S60" s="22">
        <f t="shared" si="7"/>
        <v>0</v>
      </c>
      <c r="T60" s="22">
        <f t="shared" si="7"/>
        <v>0</v>
      </c>
      <c r="U60" s="22">
        <f t="shared" si="7"/>
        <v>0</v>
      </c>
      <c r="V60" s="22">
        <f t="shared" si="7"/>
        <v>0</v>
      </c>
      <c r="W60" s="22">
        <f t="shared" si="7"/>
        <v>0</v>
      </c>
      <c r="X60" s="22">
        <f t="shared" si="7"/>
        <v>0</v>
      </c>
      <c r="Y60" s="22">
        <f t="shared" si="7"/>
        <v>0</v>
      </c>
      <c r="Z60" s="22">
        <f t="shared" si="7"/>
        <v>0</v>
      </c>
      <c r="AA60" s="22">
        <f t="shared" si="7"/>
        <v>0</v>
      </c>
      <c r="AB60" s="22">
        <f t="shared" si="7"/>
        <v>0</v>
      </c>
      <c r="AC60" s="22">
        <f t="shared" si="7"/>
        <v>2.2130000000000001</v>
      </c>
      <c r="AD60" s="22">
        <f t="shared" si="7"/>
        <v>0</v>
      </c>
      <c r="AE60" s="22">
        <f t="shared" si="7"/>
        <v>1.4790000000000001</v>
      </c>
      <c r="AF60" s="22">
        <f t="shared" si="7"/>
        <v>0</v>
      </c>
      <c r="AG60" s="22">
        <f t="shared" si="7"/>
        <v>0</v>
      </c>
      <c r="AH60" s="22">
        <f t="shared" si="7"/>
        <v>0</v>
      </c>
      <c r="AI60" s="22">
        <f t="shared" si="7"/>
        <v>31.417999999999999</v>
      </c>
      <c r="AJ60" s="22">
        <f t="shared" si="7"/>
        <v>0</v>
      </c>
      <c r="AK60" s="22">
        <f t="shared" si="7"/>
        <v>0</v>
      </c>
      <c r="AL60" s="22">
        <f t="shared" si="7"/>
        <v>0</v>
      </c>
      <c r="AM60" s="22">
        <f t="shared" si="7"/>
        <v>0</v>
      </c>
      <c r="AN60" s="22">
        <f t="shared" si="7"/>
        <v>0</v>
      </c>
      <c r="AO60" s="22">
        <f t="shared" si="7"/>
        <v>0.69499999999999995</v>
      </c>
      <c r="AP60" s="22">
        <f t="shared" si="7"/>
        <v>0</v>
      </c>
      <c r="AQ60" s="22">
        <f t="shared" si="7"/>
        <v>0</v>
      </c>
      <c r="AR60" s="22">
        <f t="shared" si="7"/>
        <v>0</v>
      </c>
      <c r="AS60" s="22">
        <f t="shared" si="7"/>
        <v>0</v>
      </c>
      <c r="AT60" s="22">
        <f t="shared" si="7"/>
        <v>0</v>
      </c>
      <c r="AU60" s="22">
        <f t="shared" si="7"/>
        <v>25.144000000000002</v>
      </c>
      <c r="AV60" s="22">
        <f t="shared" si="7"/>
        <v>0</v>
      </c>
      <c r="AW60" s="22">
        <f t="shared" si="7"/>
        <v>0</v>
      </c>
      <c r="AX60" s="22">
        <f t="shared" si="7"/>
        <v>0</v>
      </c>
      <c r="AY60" s="22">
        <f t="shared" si="7"/>
        <v>0</v>
      </c>
      <c r="AZ60" s="22">
        <f t="shared" si="7"/>
        <v>0</v>
      </c>
      <c r="BA60" s="22">
        <f t="shared" si="7"/>
        <v>0</v>
      </c>
      <c r="BB60" s="22">
        <f t="shared" si="7"/>
        <v>0</v>
      </c>
      <c r="BC60" s="22">
        <f t="shared" si="7"/>
        <v>0</v>
      </c>
      <c r="BD60" s="22">
        <f t="shared" si="7"/>
        <v>0</v>
      </c>
      <c r="BE60" s="22">
        <f t="shared" si="7"/>
        <v>0</v>
      </c>
      <c r="BF60" s="22">
        <f>+BF20+BF39+BF42+SUM(BF49:BF59)</f>
        <v>0</v>
      </c>
      <c r="BG60" s="445">
        <f t="shared" si="6"/>
        <v>84.754566321428612</v>
      </c>
      <c r="BH60" s="668"/>
    </row>
    <row r="61" spans="2:60" ht="15" customHeight="1">
      <c r="B61" s="1123" t="s">
        <v>144</v>
      </c>
      <c r="C61" s="1123"/>
      <c r="D61" s="21" t="s">
        <v>699</v>
      </c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4"/>
      <c r="X61" s="444"/>
      <c r="Y61" s="444"/>
      <c r="Z61" s="444"/>
      <c r="AA61" s="444"/>
      <c r="AB61" s="444"/>
      <c r="AC61" s="448">
        <v>3.3290000000000002</v>
      </c>
      <c r="AD61" s="444"/>
      <c r="AE61" s="444"/>
      <c r="AF61" s="444"/>
      <c r="AG61" s="444"/>
      <c r="AH61" s="444"/>
      <c r="AI61" s="444"/>
      <c r="AJ61" s="444"/>
      <c r="AK61" s="444"/>
      <c r="AL61" s="444"/>
      <c r="AM61" s="444"/>
      <c r="AN61" s="444"/>
      <c r="AO61" s="444"/>
      <c r="AP61" s="444"/>
      <c r="AQ61" s="444"/>
      <c r="AR61" s="444"/>
      <c r="AS61" s="444"/>
      <c r="AT61" s="444"/>
      <c r="AU61" s="444"/>
      <c r="AV61" s="444"/>
      <c r="AW61" s="444"/>
      <c r="AX61" s="444"/>
      <c r="AY61" s="444"/>
      <c r="AZ61" s="444"/>
      <c r="BA61" s="444"/>
      <c r="BB61" s="444"/>
      <c r="BC61" s="444"/>
      <c r="BD61" s="444"/>
      <c r="BE61" s="444"/>
      <c r="BF61" s="444"/>
      <c r="BG61" s="21">
        <f t="shared" si="6"/>
        <v>3.3290000000000002</v>
      </c>
    </row>
    <row r="62" spans="2:60" ht="15" customHeight="1">
      <c r="B62" s="1123"/>
      <c r="C62" s="1123"/>
      <c r="D62" s="21" t="s">
        <v>700</v>
      </c>
      <c r="E62" s="444"/>
      <c r="F62" s="444"/>
      <c r="G62" s="444"/>
      <c r="H62" s="444"/>
      <c r="I62" s="444"/>
      <c r="J62" s="444"/>
      <c r="K62" s="444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4"/>
      <c r="X62" s="444"/>
      <c r="Y62" s="444"/>
      <c r="Z62" s="444"/>
      <c r="AA62" s="444"/>
      <c r="AB62" s="444"/>
      <c r="AC62" s="444"/>
      <c r="AD62" s="444"/>
      <c r="AE62" s="444"/>
      <c r="AF62" s="444"/>
      <c r="AG62" s="444"/>
      <c r="AH62" s="444"/>
      <c r="AI62" s="448">
        <v>3.3290000000000002</v>
      </c>
      <c r="AJ62" s="444"/>
      <c r="AK62" s="444"/>
      <c r="AL62" s="444"/>
      <c r="AM62" s="444"/>
      <c r="AN62" s="444"/>
      <c r="AO62" s="444"/>
      <c r="AP62" s="444"/>
      <c r="AQ62" s="444"/>
      <c r="AR62" s="444"/>
      <c r="AS62" s="444"/>
      <c r="AT62" s="444"/>
      <c r="AU62" s="444"/>
      <c r="AV62" s="444"/>
      <c r="AW62" s="444"/>
      <c r="AX62" s="444"/>
      <c r="AY62" s="444"/>
      <c r="AZ62" s="444"/>
      <c r="BA62" s="444"/>
      <c r="BB62" s="444"/>
      <c r="BC62" s="444"/>
      <c r="BD62" s="444"/>
      <c r="BE62" s="444"/>
      <c r="BF62" s="444"/>
      <c r="BG62" s="21">
        <f t="shared" si="6"/>
        <v>3.3290000000000002</v>
      </c>
    </row>
    <row r="63" spans="2:60" ht="15" customHeight="1">
      <c r="B63" s="1123"/>
      <c r="C63" s="1123"/>
      <c r="D63" s="21" t="s">
        <v>701</v>
      </c>
      <c r="E63" s="444"/>
      <c r="F63" s="444"/>
      <c r="G63" s="444"/>
      <c r="H63" s="444"/>
      <c r="I63" s="444"/>
      <c r="J63" s="444"/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4"/>
      <c r="X63" s="444"/>
      <c r="Y63" s="444"/>
      <c r="Z63" s="444"/>
      <c r="AA63" s="444"/>
      <c r="AB63" s="444"/>
      <c r="AC63" s="444"/>
      <c r="AD63" s="444"/>
      <c r="AE63" s="444"/>
      <c r="AF63" s="444"/>
      <c r="AG63" s="444"/>
      <c r="AH63" s="444"/>
      <c r="AI63" s="448">
        <v>6.569</v>
      </c>
      <c r="AJ63" s="444"/>
      <c r="AK63" s="444"/>
      <c r="AL63" s="444"/>
      <c r="AM63" s="444"/>
      <c r="AN63" s="444"/>
      <c r="AO63" s="444"/>
      <c r="AP63" s="444"/>
      <c r="AQ63" s="444"/>
      <c r="AR63" s="444"/>
      <c r="AS63" s="444"/>
      <c r="AT63" s="444"/>
      <c r="AU63" s="444"/>
      <c r="AV63" s="444"/>
      <c r="AW63" s="444"/>
      <c r="AX63" s="444"/>
      <c r="AY63" s="444"/>
      <c r="AZ63" s="444"/>
      <c r="BA63" s="444"/>
      <c r="BB63" s="444"/>
      <c r="BC63" s="444"/>
      <c r="BD63" s="444"/>
      <c r="BE63" s="444"/>
      <c r="BF63" s="444"/>
      <c r="BG63" s="21">
        <f t="shared" si="6"/>
        <v>6.569</v>
      </c>
    </row>
    <row r="64" spans="2:60" ht="15" customHeight="1">
      <c r="B64" s="1123"/>
      <c r="C64" s="1123"/>
      <c r="D64" s="21" t="s">
        <v>702</v>
      </c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4"/>
      <c r="AE64" s="444"/>
      <c r="AF64" s="444"/>
      <c r="AG64" s="444"/>
      <c r="AH64" s="444"/>
      <c r="AI64" s="444"/>
      <c r="AJ64" s="444"/>
      <c r="AK64" s="444"/>
      <c r="AL64" s="444"/>
      <c r="AM64" s="444"/>
      <c r="AN64" s="444"/>
      <c r="AO64" s="444"/>
      <c r="AP64" s="444"/>
      <c r="AQ64" s="444"/>
      <c r="AR64" s="444"/>
      <c r="AS64" s="444"/>
      <c r="AT64" s="444"/>
      <c r="AU64" s="440">
        <v>6.1589999999999998</v>
      </c>
      <c r="AV64" s="444"/>
      <c r="AW64" s="444"/>
      <c r="AX64" s="444"/>
      <c r="AY64" s="444"/>
      <c r="AZ64" s="444"/>
      <c r="BA64" s="444"/>
      <c r="BB64" s="444"/>
      <c r="BC64" s="444"/>
      <c r="BD64" s="444"/>
      <c r="BE64" s="444"/>
      <c r="BF64" s="444"/>
      <c r="BG64" s="21">
        <f t="shared" si="6"/>
        <v>6.1589999999999998</v>
      </c>
    </row>
    <row r="65" spans="2:64" ht="15" customHeight="1">
      <c r="B65" s="1123"/>
      <c r="C65" s="1123"/>
      <c r="D65" s="21" t="s">
        <v>703</v>
      </c>
      <c r="E65" s="444"/>
      <c r="F65" s="444"/>
      <c r="G65" s="444"/>
      <c r="H65" s="444"/>
      <c r="I65" s="444"/>
      <c r="J65" s="444"/>
      <c r="K65" s="444"/>
      <c r="L65" s="444"/>
      <c r="M65" s="444"/>
      <c r="N65" s="444"/>
      <c r="O65" s="444"/>
      <c r="P65" s="444"/>
      <c r="Q65" s="444"/>
      <c r="R65" s="444"/>
      <c r="S65" s="444"/>
      <c r="T65" s="444"/>
      <c r="U65" s="444"/>
      <c r="V65" s="444"/>
      <c r="W65" s="444"/>
      <c r="X65" s="444"/>
      <c r="Y65" s="444"/>
      <c r="Z65" s="444"/>
      <c r="AA65" s="444"/>
      <c r="AB65" s="444"/>
      <c r="AC65" s="444"/>
      <c r="AD65" s="444"/>
      <c r="AE65" s="444"/>
      <c r="AF65" s="444"/>
      <c r="AG65" s="444"/>
      <c r="AH65" s="444"/>
      <c r="AI65" s="444"/>
      <c r="AJ65" s="444"/>
      <c r="AK65" s="444"/>
      <c r="AL65" s="444"/>
      <c r="AM65" s="444"/>
      <c r="AN65" s="444"/>
      <c r="AO65" s="440">
        <v>0.17599999999999999</v>
      </c>
      <c r="AP65" s="444"/>
      <c r="AQ65" s="444"/>
      <c r="AR65" s="444"/>
      <c r="AS65" s="444"/>
      <c r="AT65" s="444"/>
      <c r="AU65" s="444"/>
      <c r="AV65" s="444"/>
      <c r="AW65" s="444"/>
      <c r="AX65" s="444"/>
      <c r="AY65" s="444"/>
      <c r="AZ65" s="444"/>
      <c r="BA65" s="444"/>
      <c r="BB65" s="444"/>
      <c r="BC65" s="444"/>
      <c r="BD65" s="444"/>
      <c r="BE65" s="444"/>
      <c r="BF65" s="444"/>
      <c r="BG65" s="21">
        <f t="shared" si="6"/>
        <v>0.17599999999999999</v>
      </c>
    </row>
    <row r="66" spans="2:64" ht="15" customHeight="1">
      <c r="B66" s="1123"/>
      <c r="C66" s="1123"/>
      <c r="D66" s="21" t="s">
        <v>704</v>
      </c>
      <c r="E66" s="444"/>
      <c r="F66" s="444"/>
      <c r="G66" s="444"/>
      <c r="H66" s="444"/>
      <c r="I66" s="444"/>
      <c r="J66" s="444"/>
      <c r="K66" s="444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4"/>
      <c r="AD66" s="444"/>
      <c r="AE66" s="444"/>
      <c r="AF66" s="444"/>
      <c r="AG66" s="444"/>
      <c r="AH66" s="444"/>
      <c r="AI66" s="444"/>
      <c r="AJ66" s="444"/>
      <c r="AK66" s="444"/>
      <c r="AL66" s="444"/>
      <c r="AM66" s="444"/>
      <c r="AN66" s="444"/>
      <c r="AO66" s="440">
        <v>0.41699999999999998</v>
      </c>
      <c r="AP66" s="444"/>
      <c r="AQ66" s="444"/>
      <c r="AR66" s="444"/>
      <c r="AS66" s="444"/>
      <c r="AT66" s="444"/>
      <c r="AU66" s="444"/>
      <c r="AV66" s="444"/>
      <c r="AW66" s="444"/>
      <c r="AX66" s="444"/>
      <c r="AY66" s="444"/>
      <c r="AZ66" s="444"/>
      <c r="BA66" s="444"/>
      <c r="BB66" s="444"/>
      <c r="BC66" s="444"/>
      <c r="BD66" s="444"/>
      <c r="BE66" s="444"/>
      <c r="BF66" s="444"/>
      <c r="BG66" s="21">
        <f t="shared" si="6"/>
        <v>0.41699999999999998</v>
      </c>
    </row>
    <row r="67" spans="2:64" ht="15" customHeight="1" thickBot="1">
      <c r="B67" s="1123"/>
      <c r="C67" s="1123"/>
      <c r="D67" s="21" t="s">
        <v>705</v>
      </c>
      <c r="E67" s="444"/>
      <c r="F67" s="444"/>
      <c r="G67" s="444"/>
      <c r="H67" s="444"/>
      <c r="I67" s="444"/>
      <c r="J67" s="444"/>
      <c r="K67" s="444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444"/>
      <c r="W67" s="444"/>
      <c r="X67" s="444"/>
      <c r="Y67" s="444"/>
      <c r="Z67" s="444"/>
      <c r="AA67" s="444"/>
      <c r="AB67" s="444"/>
      <c r="AC67" s="444"/>
      <c r="AD67" s="444"/>
      <c r="AE67" s="444"/>
      <c r="AF67" s="444"/>
      <c r="AG67" s="444"/>
      <c r="AH67" s="444"/>
      <c r="AI67" s="444"/>
      <c r="AJ67" s="444"/>
      <c r="AK67" s="444"/>
      <c r="AL67" s="444"/>
      <c r="AM67" s="444"/>
      <c r="AN67" s="444"/>
      <c r="AO67" s="440">
        <v>0.17599999999999999</v>
      </c>
      <c r="AP67" s="444"/>
      <c r="AQ67" s="444"/>
      <c r="AR67" s="444"/>
      <c r="AS67" s="444"/>
      <c r="AT67" s="444"/>
      <c r="AU67" s="444"/>
      <c r="AV67" s="444"/>
      <c r="AW67" s="444"/>
      <c r="AX67" s="444"/>
      <c r="AY67" s="444"/>
      <c r="AZ67" s="444"/>
      <c r="BA67" s="444"/>
      <c r="BB67" s="444"/>
      <c r="BC67" s="444"/>
      <c r="BD67" s="444"/>
      <c r="BE67" s="444"/>
      <c r="BF67" s="444"/>
      <c r="BG67" s="21">
        <f t="shared" si="6"/>
        <v>0.17599999999999999</v>
      </c>
    </row>
    <row r="68" spans="2:64" ht="15" customHeight="1" thickBot="1">
      <c r="B68" s="1129"/>
      <c r="C68" s="1129"/>
      <c r="D68" s="445" t="s">
        <v>706</v>
      </c>
      <c r="E68" s="22">
        <f t="shared" ref="E68:AJ68" si="8">+SUM(E61:E67)</f>
        <v>0</v>
      </c>
      <c r="F68" s="22">
        <f t="shared" si="8"/>
        <v>0</v>
      </c>
      <c r="G68" s="22">
        <f t="shared" si="8"/>
        <v>0</v>
      </c>
      <c r="H68" s="22">
        <f t="shared" si="8"/>
        <v>0</v>
      </c>
      <c r="I68" s="22">
        <f t="shared" si="8"/>
        <v>0</v>
      </c>
      <c r="J68" s="22">
        <f t="shared" si="8"/>
        <v>0</v>
      </c>
      <c r="K68" s="22">
        <f t="shared" si="8"/>
        <v>0</v>
      </c>
      <c r="L68" s="22">
        <f t="shared" si="8"/>
        <v>0</v>
      </c>
      <c r="M68" s="22">
        <f t="shared" si="8"/>
        <v>0</v>
      </c>
      <c r="N68" s="22">
        <f t="shared" si="8"/>
        <v>0</v>
      </c>
      <c r="O68" s="22">
        <f t="shared" si="8"/>
        <v>0</v>
      </c>
      <c r="P68" s="22">
        <f t="shared" si="8"/>
        <v>0</v>
      </c>
      <c r="Q68" s="22">
        <f t="shared" si="8"/>
        <v>0</v>
      </c>
      <c r="R68" s="22">
        <f t="shared" si="8"/>
        <v>0</v>
      </c>
      <c r="S68" s="22">
        <f t="shared" si="8"/>
        <v>0</v>
      </c>
      <c r="T68" s="22">
        <f t="shared" si="8"/>
        <v>0</v>
      </c>
      <c r="U68" s="22">
        <f t="shared" si="8"/>
        <v>0</v>
      </c>
      <c r="V68" s="22">
        <f t="shared" si="8"/>
        <v>0</v>
      </c>
      <c r="W68" s="22">
        <f t="shared" si="8"/>
        <v>0</v>
      </c>
      <c r="X68" s="22">
        <f t="shared" si="8"/>
        <v>0</v>
      </c>
      <c r="Y68" s="22">
        <f t="shared" si="8"/>
        <v>0</v>
      </c>
      <c r="Z68" s="22">
        <f t="shared" si="8"/>
        <v>0</v>
      </c>
      <c r="AA68" s="22">
        <f t="shared" si="8"/>
        <v>0</v>
      </c>
      <c r="AB68" s="22">
        <f t="shared" si="8"/>
        <v>0</v>
      </c>
      <c r="AC68" s="448">
        <f t="shared" si="8"/>
        <v>3.3290000000000002</v>
      </c>
      <c r="AD68" s="22">
        <f t="shared" si="8"/>
        <v>0</v>
      </c>
      <c r="AE68" s="22">
        <f t="shared" si="8"/>
        <v>0</v>
      </c>
      <c r="AF68" s="22">
        <f t="shared" si="8"/>
        <v>0</v>
      </c>
      <c r="AG68" s="22">
        <f t="shared" si="8"/>
        <v>0</v>
      </c>
      <c r="AH68" s="22">
        <f t="shared" si="8"/>
        <v>0</v>
      </c>
      <c r="AI68" s="22">
        <f t="shared" si="8"/>
        <v>9.8979999999999997</v>
      </c>
      <c r="AJ68" s="22">
        <f t="shared" si="8"/>
        <v>0</v>
      </c>
      <c r="AK68" s="22">
        <f t="shared" ref="AK68:BF68" si="9">+SUM(AK61:AK67)</f>
        <v>0</v>
      </c>
      <c r="AL68" s="22">
        <f t="shared" si="9"/>
        <v>0</v>
      </c>
      <c r="AM68" s="22">
        <f t="shared" si="9"/>
        <v>0</v>
      </c>
      <c r="AN68" s="22">
        <f t="shared" si="9"/>
        <v>0</v>
      </c>
      <c r="AO68" s="22">
        <f t="shared" si="9"/>
        <v>0.76899999999999991</v>
      </c>
      <c r="AP68" s="22">
        <f t="shared" si="9"/>
        <v>0</v>
      </c>
      <c r="AQ68" s="22">
        <f t="shared" si="9"/>
        <v>0</v>
      </c>
      <c r="AR68" s="22">
        <f t="shared" si="9"/>
        <v>0</v>
      </c>
      <c r="AS68" s="22">
        <f t="shared" si="9"/>
        <v>0</v>
      </c>
      <c r="AT68" s="22">
        <f t="shared" si="9"/>
        <v>0</v>
      </c>
      <c r="AU68" s="22">
        <f t="shared" si="9"/>
        <v>6.1589999999999998</v>
      </c>
      <c r="AV68" s="22">
        <f t="shared" si="9"/>
        <v>0</v>
      </c>
      <c r="AW68" s="22">
        <f t="shared" si="9"/>
        <v>0</v>
      </c>
      <c r="AX68" s="22">
        <f t="shared" si="9"/>
        <v>0</v>
      </c>
      <c r="AY68" s="22">
        <f t="shared" si="9"/>
        <v>0</v>
      </c>
      <c r="AZ68" s="22">
        <f t="shared" si="9"/>
        <v>0</v>
      </c>
      <c r="BA68" s="22">
        <f t="shared" si="9"/>
        <v>0</v>
      </c>
      <c r="BB68" s="22">
        <f t="shared" si="9"/>
        <v>0</v>
      </c>
      <c r="BC68" s="22">
        <f t="shared" si="9"/>
        <v>0</v>
      </c>
      <c r="BD68" s="22">
        <f t="shared" si="9"/>
        <v>0</v>
      </c>
      <c r="BE68" s="22">
        <f t="shared" si="9"/>
        <v>0</v>
      </c>
      <c r="BF68" s="22">
        <f t="shared" si="9"/>
        <v>0</v>
      </c>
      <c r="BG68" s="445">
        <f t="shared" si="6"/>
        <v>20.155000000000001</v>
      </c>
    </row>
    <row r="69" spans="2:64" s="1" customFormat="1" ht="18.75" customHeight="1" thickBot="1">
      <c r="B69" s="1132" t="s">
        <v>16</v>
      </c>
      <c r="C69" s="1133"/>
      <c r="D69" s="450"/>
      <c r="E69" s="451">
        <f t="shared" ref="E69:AJ69" si="10">+E20+E39+E42+E68+E48+SUM(E49:E59)</f>
        <v>0.48699999999999999</v>
      </c>
      <c r="F69" s="451">
        <f t="shared" si="10"/>
        <v>0</v>
      </c>
      <c r="G69" s="451">
        <f t="shared" si="10"/>
        <v>0.94199999999999995</v>
      </c>
      <c r="H69" s="451">
        <f t="shared" si="10"/>
        <v>21.651566321428614</v>
      </c>
      <c r="I69" s="451">
        <f t="shared" si="10"/>
        <v>0</v>
      </c>
      <c r="J69" s="451">
        <f t="shared" si="10"/>
        <v>0</v>
      </c>
      <c r="K69" s="451">
        <f t="shared" si="10"/>
        <v>0</v>
      </c>
      <c r="L69" s="451">
        <f t="shared" si="10"/>
        <v>0</v>
      </c>
      <c r="M69" s="451">
        <f t="shared" si="10"/>
        <v>0</v>
      </c>
      <c r="N69" s="451">
        <f t="shared" si="10"/>
        <v>0</v>
      </c>
      <c r="O69" s="451">
        <f t="shared" si="10"/>
        <v>0.06</v>
      </c>
      <c r="P69" s="451">
        <f t="shared" si="10"/>
        <v>6.4049999999999994</v>
      </c>
      <c r="Q69" s="451">
        <f t="shared" si="10"/>
        <v>0</v>
      </c>
      <c r="R69" s="451">
        <f t="shared" si="10"/>
        <v>0.66500000000000004</v>
      </c>
      <c r="S69" s="451">
        <f t="shared" si="10"/>
        <v>0</v>
      </c>
      <c r="T69" s="451">
        <f t="shared" si="10"/>
        <v>0.33399999999999996</v>
      </c>
      <c r="U69" s="451">
        <f t="shared" si="10"/>
        <v>0</v>
      </c>
      <c r="V69" s="451">
        <f t="shared" si="10"/>
        <v>0</v>
      </c>
      <c r="W69" s="451">
        <f t="shared" si="10"/>
        <v>0</v>
      </c>
      <c r="X69" s="451">
        <f t="shared" si="10"/>
        <v>0</v>
      </c>
      <c r="Y69" s="451">
        <f t="shared" si="10"/>
        <v>0</v>
      </c>
      <c r="Z69" s="451">
        <f t="shared" si="10"/>
        <v>0</v>
      </c>
      <c r="AA69" s="451">
        <f t="shared" si="10"/>
        <v>0</v>
      </c>
      <c r="AB69" s="451">
        <f t="shared" si="10"/>
        <v>7.1369999999999996</v>
      </c>
      <c r="AC69" s="451">
        <f t="shared" si="10"/>
        <v>5.5420000000000007</v>
      </c>
      <c r="AD69" s="451">
        <f t="shared" si="10"/>
        <v>0</v>
      </c>
      <c r="AE69" s="451">
        <f t="shared" si="10"/>
        <v>1.4790000000000001</v>
      </c>
      <c r="AF69" s="451">
        <f t="shared" si="10"/>
        <v>0</v>
      </c>
      <c r="AG69" s="451">
        <f t="shared" si="10"/>
        <v>0</v>
      </c>
      <c r="AH69" s="451">
        <f t="shared" si="10"/>
        <v>0</v>
      </c>
      <c r="AI69" s="451">
        <f t="shared" si="10"/>
        <v>43.475999999999999</v>
      </c>
      <c r="AJ69" s="451">
        <f t="shared" si="10"/>
        <v>0</v>
      </c>
      <c r="AK69" s="451">
        <f t="shared" ref="AK69:BG69" si="11">+AK20+AK39+AK42+AK68+AK48+SUM(AK49:AK59)</f>
        <v>0</v>
      </c>
      <c r="AL69" s="451">
        <f t="shared" si="11"/>
        <v>0</v>
      </c>
      <c r="AM69" s="451">
        <f t="shared" si="11"/>
        <v>0</v>
      </c>
      <c r="AN69" s="451">
        <f t="shared" si="11"/>
        <v>0</v>
      </c>
      <c r="AO69" s="451">
        <f t="shared" si="11"/>
        <v>1.464</v>
      </c>
      <c r="AP69" s="451">
        <f t="shared" si="11"/>
        <v>0</v>
      </c>
      <c r="AQ69" s="451">
        <f t="shared" si="11"/>
        <v>0</v>
      </c>
      <c r="AR69" s="451">
        <f t="shared" si="11"/>
        <v>0</v>
      </c>
      <c r="AS69" s="451">
        <f t="shared" si="11"/>
        <v>0</v>
      </c>
      <c r="AT69" s="451">
        <f t="shared" si="11"/>
        <v>0</v>
      </c>
      <c r="AU69" s="451">
        <f t="shared" si="11"/>
        <v>31.303000000000001</v>
      </c>
      <c r="AV69" s="451">
        <f t="shared" si="11"/>
        <v>0</v>
      </c>
      <c r="AW69" s="451">
        <f t="shared" si="11"/>
        <v>0</v>
      </c>
      <c r="AX69" s="451">
        <f t="shared" si="11"/>
        <v>0</v>
      </c>
      <c r="AY69" s="451">
        <f t="shared" si="11"/>
        <v>0</v>
      </c>
      <c r="AZ69" s="451">
        <f t="shared" si="11"/>
        <v>0.59299999999999997</v>
      </c>
      <c r="BA69" s="451">
        <f t="shared" si="11"/>
        <v>0</v>
      </c>
      <c r="BB69" s="451">
        <f t="shared" si="11"/>
        <v>0</v>
      </c>
      <c r="BC69" s="451">
        <f t="shared" si="11"/>
        <v>0</v>
      </c>
      <c r="BD69" s="451">
        <f t="shared" si="11"/>
        <v>0</v>
      </c>
      <c r="BE69" s="451">
        <f t="shared" si="11"/>
        <v>0</v>
      </c>
      <c r="BF69" s="451">
        <f t="shared" si="11"/>
        <v>0.79200000000000004</v>
      </c>
      <c r="BG69" s="451">
        <f t="shared" si="11"/>
        <v>122.33056632142862</v>
      </c>
      <c r="BH69" s="452">
        <f>+SUM(E69:BF69)</f>
        <v>122.33056632142861</v>
      </c>
      <c r="BI69" s="452"/>
      <c r="BJ69" s="452"/>
    </row>
    <row r="70" spans="2:64" ht="14.25" thickTop="1" thickBot="1">
      <c r="B70" s="1130"/>
      <c r="C70" s="1131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</row>
    <row r="71" spans="2:64" ht="13.5" thickBot="1">
      <c r="B71" s="453" t="s">
        <v>707</v>
      </c>
      <c r="C71" s="454"/>
      <c r="D71" s="454"/>
      <c r="E71" s="455">
        <v>0</v>
      </c>
      <c r="N71" s="456" t="s">
        <v>87</v>
      </c>
      <c r="O71" s="22"/>
      <c r="P71" s="22"/>
      <c r="Z71" s="456" t="s">
        <v>87</v>
      </c>
      <c r="AA71" s="22"/>
      <c r="AB71" s="22"/>
      <c r="AL71" s="456" t="s">
        <v>87</v>
      </c>
      <c r="AM71" s="22"/>
      <c r="AN71" s="22"/>
      <c r="AX71" s="456" t="s">
        <v>87</v>
      </c>
      <c r="AY71" s="22"/>
      <c r="AZ71" s="22"/>
      <c r="BC71" s="456" t="s">
        <v>87</v>
      </c>
      <c r="BD71" s="22"/>
      <c r="BE71" s="22"/>
      <c r="BH71" s="440"/>
      <c r="BI71" s="21"/>
      <c r="BJ71" s="21"/>
      <c r="BK71" s="21"/>
      <c r="BL71" s="21"/>
    </row>
    <row r="72" spans="2:64" ht="13.5" thickBot="1">
      <c r="B72" s="21"/>
      <c r="C72" s="21"/>
      <c r="D72" s="21"/>
      <c r="N72" s="27" t="s">
        <v>708</v>
      </c>
      <c r="P72" s="46">
        <f>SUM(E60:P60)</f>
        <v>23.140566321428611</v>
      </c>
      <c r="Z72" s="27" t="s">
        <v>708</v>
      </c>
      <c r="AB72" s="46">
        <f>SUM(Q60:AB60)</f>
        <v>0.66500000000000004</v>
      </c>
      <c r="AL72" s="27" t="s">
        <v>708</v>
      </c>
      <c r="AN72" s="46">
        <f>SUM(AC60:AN60)</f>
        <v>35.11</v>
      </c>
      <c r="AX72" s="27" t="s">
        <v>708</v>
      </c>
      <c r="AZ72" s="46">
        <f>SUM(AO60:AZ60)</f>
        <v>25.839000000000002</v>
      </c>
      <c r="BC72" s="27" t="s">
        <v>708</v>
      </c>
      <c r="BE72" s="46">
        <f>SUM(BA60:BF60)</f>
        <v>0</v>
      </c>
      <c r="BH72" s="21"/>
      <c r="BI72" s="21"/>
      <c r="BJ72" s="21"/>
      <c r="BK72" s="21"/>
      <c r="BL72" s="21"/>
    </row>
    <row r="73" spans="2:64" ht="13.5" thickBot="1">
      <c r="B73" s="453" t="s">
        <v>709</v>
      </c>
      <c r="C73" s="454"/>
      <c r="D73" s="454"/>
      <c r="E73" s="455">
        <v>1</v>
      </c>
      <c r="N73" s="27" t="s">
        <v>533</v>
      </c>
      <c r="P73" s="46">
        <f>SUMPRODUCT(E60:P60,E$2:P$2)/12</f>
        <v>17.520674741071463</v>
      </c>
      <c r="Z73" s="27" t="s">
        <v>533</v>
      </c>
      <c r="AB73" s="46">
        <f>SUMPRODUCT(Q60:AB60,Q$2:AB$2)/12</f>
        <v>0.60958333333333337</v>
      </c>
      <c r="AL73" s="27" t="s">
        <v>533</v>
      </c>
      <c r="AN73" s="46">
        <f>SUMPRODUCT(AC60:AN60,AC$2:AN$2)/12</f>
        <v>19.154499999999999</v>
      </c>
      <c r="AX73" s="27" t="s">
        <v>533</v>
      </c>
      <c r="AZ73" s="46">
        <f>SUMPRODUCT(AO60:AZ60,AO$2:AZ$2)/12</f>
        <v>13.267000000000001</v>
      </c>
      <c r="BC73" s="27" t="s">
        <v>533</v>
      </c>
      <c r="BE73" s="46">
        <f>SUMPRODUCT(BA60:BF60,BA$2:BF$2)/6</f>
        <v>0</v>
      </c>
      <c r="BH73" s="21"/>
      <c r="BI73" s="21"/>
      <c r="BJ73" s="21"/>
      <c r="BK73" s="21"/>
      <c r="BL73" s="21"/>
    </row>
    <row r="74" spans="2:64">
      <c r="B74" s="21"/>
      <c r="C74" s="21"/>
      <c r="D74" s="21"/>
      <c r="N74" s="27"/>
      <c r="Z74" s="27"/>
      <c r="AL74" s="27"/>
      <c r="AX74" s="27"/>
      <c r="BC74" s="27"/>
      <c r="BH74" s="440"/>
      <c r="BI74" s="21"/>
      <c r="BJ74" s="21"/>
      <c r="BK74" s="21"/>
      <c r="BL74" s="21"/>
    </row>
    <row r="75" spans="2:64">
      <c r="B75" s="21"/>
      <c r="C75" s="21"/>
      <c r="D75" s="21"/>
      <c r="N75" s="456" t="s">
        <v>83</v>
      </c>
      <c r="O75" s="22"/>
      <c r="P75" s="22"/>
      <c r="Z75" s="456" t="s">
        <v>83</v>
      </c>
      <c r="AA75" s="22"/>
      <c r="AB75" s="22"/>
      <c r="AL75" s="456" t="s">
        <v>83</v>
      </c>
      <c r="AM75" s="22"/>
      <c r="AN75" s="22"/>
      <c r="AX75" s="456" t="s">
        <v>83</v>
      </c>
      <c r="AY75" s="22"/>
      <c r="AZ75" s="22"/>
      <c r="BC75" s="456" t="s">
        <v>83</v>
      </c>
      <c r="BD75" s="22"/>
      <c r="BE75" s="22"/>
      <c r="BH75" s="440"/>
      <c r="BI75" s="21"/>
      <c r="BJ75" s="21"/>
      <c r="BK75" s="21"/>
      <c r="BL75" s="21"/>
    </row>
    <row r="76" spans="2:64">
      <c r="B76" t="s">
        <v>527</v>
      </c>
      <c r="N76" s="27" t="s">
        <v>708</v>
      </c>
      <c r="P76" s="46">
        <f>SUM(E48:P48)</f>
        <v>6.4049999999999994</v>
      </c>
      <c r="Z76" s="27" t="s">
        <v>708</v>
      </c>
      <c r="AB76" s="46">
        <f>SUM(Q48:AB48)</f>
        <v>7.4709999999999992</v>
      </c>
      <c r="AL76" s="27" t="s">
        <v>708</v>
      </c>
      <c r="AN76" s="46">
        <f>SUM(AC48:AN48)</f>
        <v>2.1599999999999997</v>
      </c>
      <c r="AX76" s="27" t="s">
        <v>708</v>
      </c>
      <c r="AZ76" s="46">
        <f>SUM(AO48:AZ48)</f>
        <v>0.59299999999999997</v>
      </c>
      <c r="BC76" s="27" t="s">
        <v>708</v>
      </c>
      <c r="BE76" s="46">
        <f>SUM(BA48:BF48)</f>
        <v>0.79200000000000004</v>
      </c>
      <c r="BH76" s="440"/>
      <c r="BI76" s="21"/>
      <c r="BJ76" s="21"/>
      <c r="BK76" s="21"/>
      <c r="BL76" s="21"/>
    </row>
    <row r="77" spans="2:64">
      <c r="B77" t="s">
        <v>528</v>
      </c>
      <c r="N77" s="27" t="s">
        <v>533</v>
      </c>
      <c r="P77" s="46">
        <f>SUMPRODUCT(E48:P48,E$2:P$2)/12</f>
        <v>0.53374999999999995</v>
      </c>
      <c r="Z77" s="27" t="s">
        <v>533</v>
      </c>
      <c r="AB77" s="46">
        <f>SUMPRODUCT(Q48:AB48,Q$2:AB$2)/12</f>
        <v>0.84524999999999995</v>
      </c>
      <c r="AL77" s="27" t="s">
        <v>533</v>
      </c>
      <c r="AN77" s="46">
        <f>SUMPRODUCT(AC48:AN48,AC$2:AN$2)/12</f>
        <v>1.0799999999999998</v>
      </c>
      <c r="AX77" s="27" t="s">
        <v>533</v>
      </c>
      <c r="AZ77" s="46">
        <f>SUMPRODUCT(AO48:AZ48,AO$2:AZ$2)/12</f>
        <v>4.9416666666666664E-2</v>
      </c>
      <c r="BC77" s="27" t="s">
        <v>533</v>
      </c>
      <c r="BE77" s="46">
        <f>SUMPRODUCT(BA48:BF48,BA$2:BF$2)/6</f>
        <v>0.13200000000000001</v>
      </c>
      <c r="BH77" s="440"/>
      <c r="BI77" s="21"/>
      <c r="BJ77" s="21"/>
      <c r="BK77" s="21"/>
      <c r="BL77" s="21"/>
    </row>
    <row r="78" spans="2:64">
      <c r="E78" s="180" t="s">
        <v>529</v>
      </c>
      <c r="F78" s="180" t="s">
        <v>530</v>
      </c>
      <c r="N78" s="27"/>
      <c r="Z78" s="27"/>
      <c r="AL78" s="27"/>
      <c r="AX78" s="27"/>
      <c r="BC78" s="27"/>
      <c r="BH78" s="440"/>
      <c r="BI78" s="21"/>
      <c r="BJ78" s="21"/>
      <c r="BK78" s="21"/>
      <c r="BL78" s="21"/>
    </row>
    <row r="79" spans="2:64">
      <c r="B79" t="s">
        <v>531</v>
      </c>
      <c r="E79" s="181">
        <v>39965</v>
      </c>
      <c r="F79" s="457">
        <v>3.8450000000000002</v>
      </c>
      <c r="N79" s="27" t="s">
        <v>14</v>
      </c>
      <c r="Z79" s="27" t="s">
        <v>14</v>
      </c>
      <c r="AL79" s="27" t="s">
        <v>14</v>
      </c>
      <c r="AX79" s="27" t="s">
        <v>14</v>
      </c>
      <c r="BC79" s="27" t="s">
        <v>14</v>
      </c>
      <c r="BH79" s="21"/>
      <c r="BI79" s="21"/>
      <c r="BJ79" s="21"/>
      <c r="BK79" s="21"/>
      <c r="BL79" s="21"/>
    </row>
    <row r="80" spans="2:64">
      <c r="B80" t="s">
        <v>532</v>
      </c>
      <c r="E80" s="181">
        <v>40360</v>
      </c>
      <c r="F80" s="457">
        <v>8.1</v>
      </c>
      <c r="N80" s="27" t="s">
        <v>708</v>
      </c>
      <c r="P80" s="46">
        <f>+SUM(E68:P68)</f>
        <v>0</v>
      </c>
      <c r="R80" s="458"/>
      <c r="Z80" s="27" t="s">
        <v>708</v>
      </c>
      <c r="AB80" s="46">
        <f>+SUM(Q68:AB68)</f>
        <v>0</v>
      </c>
      <c r="AL80" s="27" t="s">
        <v>708</v>
      </c>
      <c r="AN80" s="46">
        <f>+SUM(AC68:AN68)</f>
        <v>13.227</v>
      </c>
      <c r="AX80" s="27" t="s">
        <v>708</v>
      </c>
      <c r="AZ80" s="46">
        <f>+SUM(AO68:AZ68)</f>
        <v>6.9279999999999999</v>
      </c>
      <c r="BC80" s="27" t="s">
        <v>708</v>
      </c>
      <c r="BE80" s="46">
        <f>+SUM(BA68:BF68)</f>
        <v>0</v>
      </c>
      <c r="BH80" s="21"/>
      <c r="BI80" s="21"/>
      <c r="BJ80" s="21"/>
      <c r="BK80" s="21"/>
      <c r="BL80" s="21"/>
    </row>
    <row r="81" spans="2:64">
      <c r="B81" s="1" t="s">
        <v>16</v>
      </c>
      <c r="E81" s="182"/>
      <c r="F81" s="459">
        <f>+F80+F79</f>
        <v>11.945</v>
      </c>
      <c r="N81" s="27" t="s">
        <v>533</v>
      </c>
      <c r="P81" s="46">
        <f>SUMPRODUCT(E68:P68,E$2:P$2)/12</f>
        <v>0</v>
      </c>
      <c r="R81" s="458"/>
      <c r="Z81" s="27" t="s">
        <v>533</v>
      </c>
      <c r="AB81" s="46">
        <f>SUMPRODUCT(Q68:AB68,Q$2:AB$2)/12</f>
        <v>0</v>
      </c>
      <c r="AL81" s="27" t="s">
        <v>533</v>
      </c>
      <c r="AN81" s="46">
        <f>SUMPRODUCT(AC68:AN68,AC$2:AN$2)/12</f>
        <v>8.2780000000000005</v>
      </c>
      <c r="AX81" s="27" t="s">
        <v>533</v>
      </c>
      <c r="AZ81" s="46">
        <f>SUMPRODUCT(AO68:AZ68,AO$2:AZ$2)/12</f>
        <v>3.8485</v>
      </c>
      <c r="BC81" s="27" t="s">
        <v>533</v>
      </c>
      <c r="BE81" s="46">
        <f>SUMPRODUCT(BA68:BF68,BA$2:BF$2)/12</f>
        <v>0</v>
      </c>
      <c r="BH81" s="21"/>
      <c r="BI81" s="21"/>
      <c r="BJ81" s="21"/>
      <c r="BK81" s="21"/>
      <c r="BL81" s="21"/>
    </row>
    <row r="82" spans="2:64">
      <c r="B82" s="21"/>
      <c r="C82" s="21"/>
      <c r="D82" s="21"/>
      <c r="BH82" s="21"/>
      <c r="BI82" s="21"/>
      <c r="BJ82" s="21"/>
      <c r="BK82" s="21"/>
      <c r="BL82" s="21"/>
    </row>
    <row r="83" spans="2:64">
      <c r="B83" s="27" t="s">
        <v>17</v>
      </c>
      <c r="C83" s="491">
        <f>+C91-C92-C93</f>
        <v>1.0019999999999989</v>
      </c>
      <c r="D83" s="491">
        <f>+D91-D92-D93</f>
        <v>0</v>
      </c>
      <c r="E83" s="491">
        <f>+E91-E92-E93</f>
        <v>0</v>
      </c>
      <c r="F83" s="491">
        <f>+F91-F92-F93</f>
        <v>0</v>
      </c>
      <c r="G83" s="491">
        <f>+G91-G92-G93</f>
        <v>0</v>
      </c>
    </row>
    <row r="84" spans="2:64">
      <c r="B84" s="27"/>
      <c r="C84" s="491"/>
      <c r="D84" s="491"/>
      <c r="E84" s="491"/>
      <c r="F84" s="491"/>
      <c r="G84" s="491"/>
    </row>
    <row r="85" spans="2:64">
      <c r="B85" s="27"/>
      <c r="C85" s="491"/>
      <c r="D85" s="491"/>
      <c r="E85" s="491"/>
      <c r="F85" s="491"/>
      <c r="G85" s="491"/>
    </row>
    <row r="86" spans="2:64">
      <c r="B86" s="27"/>
      <c r="C86" s="491"/>
      <c r="D86" s="491"/>
      <c r="E86" s="491"/>
      <c r="F86" s="491"/>
      <c r="G86" s="491"/>
    </row>
    <row r="87" spans="2:64">
      <c r="B87" s="27"/>
      <c r="C87" s="491"/>
      <c r="D87" s="491"/>
      <c r="E87" s="491"/>
      <c r="F87" s="491"/>
      <c r="G87" s="491"/>
    </row>
    <row r="88" spans="2:64" ht="13.5" thickBot="1">
      <c r="B88" s="21"/>
      <c r="C88" s="21"/>
      <c r="D88" s="21"/>
    </row>
    <row r="89" spans="2:64" ht="21" customHeight="1" thickBot="1">
      <c r="B89" s="981" t="s">
        <v>204</v>
      </c>
      <c r="C89" s="982">
        <v>2009</v>
      </c>
      <c r="D89" s="983">
        <v>2010</v>
      </c>
      <c r="E89" s="982">
        <v>2011</v>
      </c>
      <c r="F89" s="983">
        <v>2012</v>
      </c>
      <c r="G89" s="982">
        <v>2013</v>
      </c>
      <c r="H89" s="984" t="s">
        <v>85</v>
      </c>
    </row>
    <row r="90" spans="2:64" ht="15">
      <c r="B90" s="985" t="s">
        <v>87</v>
      </c>
      <c r="C90" s="986"/>
      <c r="D90" s="987"/>
      <c r="E90" s="986"/>
      <c r="F90" s="987"/>
      <c r="G90" s="986"/>
      <c r="H90" s="988"/>
    </row>
    <row r="91" spans="2:64" ht="15">
      <c r="B91" s="989" t="s">
        <v>710</v>
      </c>
      <c r="C91" s="990">
        <f>+P72</f>
        <v>23.140566321428611</v>
      </c>
      <c r="D91" s="991">
        <f>+AB72</f>
        <v>0.66500000000000004</v>
      </c>
      <c r="E91" s="990">
        <f>+AN72</f>
        <v>35.11</v>
      </c>
      <c r="F91" s="991">
        <f>+AZ72</f>
        <v>25.839000000000002</v>
      </c>
      <c r="G91" s="990">
        <f>+BE72</f>
        <v>0</v>
      </c>
      <c r="H91" s="992">
        <f>+SUM(C91:G91)</f>
        <v>84.754566321428612</v>
      </c>
    </row>
    <row r="92" spans="2:64" ht="14.25">
      <c r="B92" s="993" t="s">
        <v>75</v>
      </c>
      <c r="C92" s="994">
        <f>+H6+H7+E50</f>
        <v>22.138566321428613</v>
      </c>
      <c r="D92" s="995">
        <f>+R55</f>
        <v>0.66500000000000004</v>
      </c>
      <c r="E92" s="994">
        <f>+AI8+AI15+AI16+AI17+AI18+AE51+AC56+AC42</f>
        <v>19.262</v>
      </c>
      <c r="F92" s="995">
        <f>+AU39+AU59+AC56</f>
        <v>25.839000000000002</v>
      </c>
      <c r="G92" s="994">
        <f>+BA39</f>
        <v>0</v>
      </c>
      <c r="H92" s="996">
        <f>+SUM(C92:G92)</f>
        <v>67.904566321428618</v>
      </c>
    </row>
    <row r="93" spans="2:64" ht="14.25">
      <c r="B93" s="993" t="s">
        <v>66</v>
      </c>
      <c r="C93" s="997"/>
      <c r="D93" s="998"/>
      <c r="E93" s="997">
        <f>+AI10+AI11+AI12+AI13</f>
        <v>15.847999999999999</v>
      </c>
      <c r="F93" s="998"/>
      <c r="G93" s="997"/>
      <c r="H93" s="999">
        <f>+SUM(C93:G93)</f>
        <v>15.847999999999999</v>
      </c>
      <c r="I93" s="480"/>
    </row>
    <row r="94" spans="2:64" ht="14.25">
      <c r="B94" s="989" t="s">
        <v>711</v>
      </c>
      <c r="C94" s="994">
        <f>+P73</f>
        <v>17.520674741071463</v>
      </c>
      <c r="D94" s="995">
        <f>+AB73</f>
        <v>0.60958333333333337</v>
      </c>
      <c r="E94" s="994">
        <f>+AN73</f>
        <v>19.154499999999999</v>
      </c>
      <c r="F94" s="995">
        <f>+AZ73</f>
        <v>13.267000000000001</v>
      </c>
      <c r="G94" s="994">
        <f>+BE73</f>
        <v>0</v>
      </c>
      <c r="H94" s="996"/>
      <c r="I94" s="480"/>
    </row>
    <row r="95" spans="2:64" ht="15">
      <c r="B95" s="985" t="s">
        <v>83</v>
      </c>
      <c r="C95" s="994"/>
      <c r="D95" s="995"/>
      <c r="E95" s="994"/>
      <c r="F95" s="995"/>
      <c r="G95" s="994"/>
      <c r="H95" s="996"/>
    </row>
    <row r="96" spans="2:64" ht="15">
      <c r="B96" s="989" t="s">
        <v>710</v>
      </c>
      <c r="C96" s="990">
        <f>+P76</f>
        <v>6.4049999999999994</v>
      </c>
      <c r="D96" s="991">
        <f>+AB76</f>
        <v>7.4709999999999992</v>
      </c>
      <c r="E96" s="990">
        <f>+AN76</f>
        <v>2.1599999999999997</v>
      </c>
      <c r="F96" s="991">
        <f>+AZ76</f>
        <v>0.59299999999999997</v>
      </c>
      <c r="G96" s="990">
        <f>+BE76</f>
        <v>0.79200000000000004</v>
      </c>
      <c r="H96" s="1000">
        <f>+SUM(C96:G96)</f>
        <v>17.420999999999999</v>
      </c>
      <c r="J96" s="584"/>
    </row>
    <row r="97" spans="2:46" ht="14.25">
      <c r="B97" s="989" t="s">
        <v>711</v>
      </c>
      <c r="C97" s="994">
        <f>+P77</f>
        <v>0.53374999999999995</v>
      </c>
      <c r="D97" s="995">
        <f>+AB77</f>
        <v>0.84524999999999995</v>
      </c>
      <c r="E97" s="994">
        <f>+AN77</f>
        <v>1.0799999999999998</v>
      </c>
      <c r="F97" s="995">
        <f>+AZ77</f>
        <v>4.9416666666666664E-2</v>
      </c>
      <c r="G97" s="994">
        <f>+BE77</f>
        <v>0.13200000000000001</v>
      </c>
      <c r="H97" s="996">
        <f>+SUM(C97:G97)</f>
        <v>2.6404166666666664</v>
      </c>
    </row>
    <row r="98" spans="2:46" ht="15">
      <c r="B98" s="985" t="s">
        <v>14</v>
      </c>
      <c r="C98" s="994"/>
      <c r="D98" s="995"/>
      <c r="E98" s="994"/>
      <c r="F98" s="995"/>
      <c r="G98" s="994"/>
      <c r="H98" s="996">
        <f>+SUM(C98:G98)</f>
        <v>0</v>
      </c>
    </row>
    <row r="99" spans="2:46" ht="15">
      <c r="B99" s="989" t="s">
        <v>710</v>
      </c>
      <c r="C99" s="1001">
        <f>+P80</f>
        <v>0</v>
      </c>
      <c r="D99" s="1002">
        <f>+AB80</f>
        <v>0</v>
      </c>
      <c r="E99" s="1001">
        <f>+AN80</f>
        <v>13.227</v>
      </c>
      <c r="F99" s="1002">
        <f>+AZ80</f>
        <v>6.9279999999999999</v>
      </c>
      <c r="G99" s="1001">
        <f>+BE80</f>
        <v>0</v>
      </c>
      <c r="H99" s="992">
        <f>+SUM(C99:G99)</f>
        <v>20.155000000000001</v>
      </c>
    </row>
    <row r="100" spans="2:46" ht="15" thickBot="1">
      <c r="B100" s="989" t="s">
        <v>711</v>
      </c>
      <c r="C100" s="997">
        <f>+P81</f>
        <v>0</v>
      </c>
      <c r="D100" s="998">
        <f>+AB81</f>
        <v>0</v>
      </c>
      <c r="E100" s="997">
        <f>+AN81</f>
        <v>8.2780000000000005</v>
      </c>
      <c r="F100" s="998">
        <f>+AZ81</f>
        <v>3.8485</v>
      </c>
      <c r="G100" s="997">
        <f>+BE81</f>
        <v>0</v>
      </c>
      <c r="H100" s="996"/>
    </row>
    <row r="101" spans="2:46" ht="15.75" thickBot="1">
      <c r="B101" s="1003" t="s">
        <v>349</v>
      </c>
      <c r="C101" s="1004">
        <f t="shared" ref="C101:H101" si="12">+C99+C91+C96</f>
        <v>29.545566321428609</v>
      </c>
      <c r="D101" s="1005">
        <f t="shared" si="12"/>
        <v>8.1359999999999992</v>
      </c>
      <c r="E101" s="1004">
        <f t="shared" si="12"/>
        <v>50.497</v>
      </c>
      <c r="F101" s="1005">
        <f t="shared" si="12"/>
        <v>33.36</v>
      </c>
      <c r="G101" s="1004">
        <f t="shared" si="12"/>
        <v>0.79200000000000004</v>
      </c>
      <c r="H101" s="1006">
        <f t="shared" si="12"/>
        <v>122.33056632142862</v>
      </c>
      <c r="J101" s="480"/>
    </row>
    <row r="102" spans="2:46">
      <c r="B102" s="182"/>
      <c r="C102" s="478"/>
      <c r="D102" s="478"/>
      <c r="E102" s="478"/>
      <c r="F102" s="479"/>
      <c r="G102" s="478"/>
      <c r="H102" s="478"/>
    </row>
    <row r="103" spans="2:46" ht="13.5" thickBot="1"/>
    <row r="104" spans="2:46" ht="15.75" thickBot="1">
      <c r="B104" s="460" t="s">
        <v>204</v>
      </c>
      <c r="C104" s="688">
        <v>2009</v>
      </c>
      <c r="D104" s="461">
        <v>2010</v>
      </c>
      <c r="E104" s="688">
        <v>2011</v>
      </c>
      <c r="F104" s="461">
        <v>2012</v>
      </c>
      <c r="G104" s="688">
        <v>2013</v>
      </c>
      <c r="H104" s="462" t="s">
        <v>85</v>
      </c>
    </row>
    <row r="105" spans="2:46" ht="15">
      <c r="B105" s="463" t="s">
        <v>87</v>
      </c>
      <c r="C105" s="683"/>
      <c r="D105" s="464"/>
      <c r="E105" s="683"/>
      <c r="F105" s="464"/>
      <c r="G105" s="683"/>
      <c r="H105" s="465"/>
    </row>
    <row r="106" spans="2:46" ht="15">
      <c r="B106" s="466" t="s">
        <v>710</v>
      </c>
      <c r="C106" s="684">
        <f t="shared" ref="C106:G107" si="13">+C91</f>
        <v>23.140566321428611</v>
      </c>
      <c r="D106" s="467">
        <f t="shared" si="13"/>
        <v>0.66500000000000004</v>
      </c>
      <c r="E106" s="684">
        <f t="shared" si="13"/>
        <v>35.11</v>
      </c>
      <c r="F106" s="467">
        <f t="shared" si="13"/>
        <v>25.839000000000002</v>
      </c>
      <c r="G106" s="684">
        <f t="shared" si="13"/>
        <v>0</v>
      </c>
      <c r="H106" s="469">
        <f>+SUM(C106:G106)</f>
        <v>84.754566321428612</v>
      </c>
    </row>
    <row r="107" spans="2:46" ht="14.25">
      <c r="B107" s="470" t="s">
        <v>75</v>
      </c>
      <c r="C107" s="685">
        <f t="shared" si="13"/>
        <v>22.138566321428613</v>
      </c>
      <c r="D107" s="468">
        <f t="shared" si="13"/>
        <v>0.66500000000000004</v>
      </c>
      <c r="E107" s="685">
        <f t="shared" si="13"/>
        <v>19.262</v>
      </c>
      <c r="F107" s="468">
        <f t="shared" si="13"/>
        <v>25.839000000000002</v>
      </c>
      <c r="G107" s="685">
        <f t="shared" si="13"/>
        <v>0</v>
      </c>
      <c r="H107" s="471">
        <f>+SUM(C107:G107)</f>
        <v>67.904566321428618</v>
      </c>
    </row>
    <row r="108" spans="2:46" ht="14.25">
      <c r="B108" s="470" t="s">
        <v>66</v>
      </c>
      <c r="C108" s="685">
        <f>+C93</f>
        <v>0</v>
      </c>
      <c r="D108" s="468">
        <f>+D93</f>
        <v>0</v>
      </c>
      <c r="E108" s="685">
        <f>+E93</f>
        <v>15.847999999999999</v>
      </c>
      <c r="F108" s="468">
        <f>+F93</f>
        <v>0</v>
      </c>
      <c r="G108" s="685">
        <f>+G93</f>
        <v>0</v>
      </c>
      <c r="H108" s="471">
        <f>+SUM(C108:G108)</f>
        <v>15.847999999999999</v>
      </c>
      <c r="J108" s="480"/>
    </row>
    <row r="109" spans="2:46" ht="15">
      <c r="B109" s="466" t="s">
        <v>711</v>
      </c>
      <c r="C109" s="685">
        <f t="shared" ref="C109:G110" si="14">+C94</f>
        <v>17.520674741071463</v>
      </c>
      <c r="D109" s="468">
        <f t="shared" si="14"/>
        <v>0.60958333333333337</v>
      </c>
      <c r="E109" s="685">
        <f t="shared" si="14"/>
        <v>19.154499999999999</v>
      </c>
      <c r="F109" s="468">
        <f t="shared" si="14"/>
        <v>13.267000000000001</v>
      </c>
      <c r="G109" s="685">
        <f t="shared" si="14"/>
        <v>0</v>
      </c>
      <c r="H109" s="472">
        <f>+SUM(C109:G109)</f>
        <v>50.551758074404795</v>
      </c>
    </row>
    <row r="110" spans="2:46" ht="15">
      <c r="B110" s="463" t="s">
        <v>83</v>
      </c>
      <c r="C110" s="685">
        <f t="shared" si="14"/>
        <v>0</v>
      </c>
      <c r="D110" s="468">
        <f t="shared" si="14"/>
        <v>0</v>
      </c>
      <c r="E110" s="685">
        <f t="shared" si="14"/>
        <v>0</v>
      </c>
      <c r="F110" s="468">
        <f t="shared" si="14"/>
        <v>0</v>
      </c>
      <c r="G110" s="685">
        <f t="shared" si="14"/>
        <v>0</v>
      </c>
      <c r="H110" s="471"/>
    </row>
    <row r="111" spans="2:46" ht="15">
      <c r="B111" s="466" t="s">
        <v>710</v>
      </c>
      <c r="C111" s="684">
        <f t="shared" ref="C111:D113" si="15">+C96</f>
        <v>6.4049999999999994</v>
      </c>
      <c r="D111" s="467">
        <f t="shared" si="15"/>
        <v>7.4709999999999992</v>
      </c>
      <c r="E111" s="684">
        <f>+ACTIVOS!F159/1000</f>
        <v>2.9879999999999987</v>
      </c>
      <c r="F111" s="467">
        <f>+ACTIVOS!G159/1000</f>
        <v>0.59299999999999997</v>
      </c>
      <c r="G111" s="684">
        <f>+ACTIVOS!H159/1000</f>
        <v>0.79200000000000004</v>
      </c>
      <c r="H111" s="472">
        <f>+SUM(C111:G111)</f>
        <v>18.248999999999999</v>
      </c>
      <c r="J111" s="480"/>
      <c r="AT111" s="584"/>
    </row>
    <row r="112" spans="2:46" ht="15">
      <c r="B112" s="466" t="s">
        <v>711</v>
      </c>
      <c r="C112" s="685">
        <f t="shared" si="15"/>
        <v>0.53374999999999995</v>
      </c>
      <c r="D112" s="468">
        <f t="shared" si="15"/>
        <v>0.84524999999999995</v>
      </c>
      <c r="E112" s="685">
        <f t="shared" ref="E112:G113" si="16">+E97</f>
        <v>1.0799999999999998</v>
      </c>
      <c r="F112" s="468">
        <f t="shared" si="16"/>
        <v>4.9416666666666664E-2</v>
      </c>
      <c r="G112" s="685">
        <f t="shared" si="16"/>
        <v>0.13200000000000001</v>
      </c>
      <c r="H112" s="472">
        <f>+SUM(C112:G112)</f>
        <v>2.6404166666666664</v>
      </c>
    </row>
    <row r="113" spans="2:8" ht="15">
      <c r="B113" s="463" t="s">
        <v>14</v>
      </c>
      <c r="C113" s="685">
        <f t="shared" si="15"/>
        <v>0</v>
      </c>
      <c r="D113" s="468">
        <f t="shared" si="15"/>
        <v>0</v>
      </c>
      <c r="E113" s="685">
        <f t="shared" si="16"/>
        <v>0</v>
      </c>
      <c r="F113" s="468">
        <f t="shared" si="16"/>
        <v>0</v>
      </c>
      <c r="G113" s="685">
        <f t="shared" si="16"/>
        <v>0</v>
      </c>
      <c r="H113" s="471">
        <f>+SUM(C113:G113)</f>
        <v>0</v>
      </c>
    </row>
    <row r="114" spans="2:8" ht="15">
      <c r="B114" s="466" t="s">
        <v>710</v>
      </c>
      <c r="C114" s="687">
        <f t="shared" ref="C114:G115" si="17">+C99</f>
        <v>0</v>
      </c>
      <c r="D114" s="473">
        <f t="shared" si="17"/>
        <v>0</v>
      </c>
      <c r="E114" s="687">
        <f t="shared" si="17"/>
        <v>13.227</v>
      </c>
      <c r="F114" s="473">
        <f t="shared" si="17"/>
        <v>6.9279999999999999</v>
      </c>
      <c r="G114" s="687">
        <f t="shared" si="17"/>
        <v>0</v>
      </c>
      <c r="H114" s="469">
        <f>+SUM(C114:G114)</f>
        <v>20.155000000000001</v>
      </c>
    </row>
    <row r="115" spans="2:8" ht="15.75" thickBot="1">
      <c r="B115" s="466" t="s">
        <v>711</v>
      </c>
      <c r="C115" s="686">
        <f t="shared" si="17"/>
        <v>0</v>
      </c>
      <c r="D115" s="474">
        <f t="shared" si="17"/>
        <v>0</v>
      </c>
      <c r="E115" s="686">
        <f t="shared" si="17"/>
        <v>8.2780000000000005</v>
      </c>
      <c r="F115" s="474">
        <f t="shared" si="17"/>
        <v>3.8485</v>
      </c>
      <c r="G115" s="686">
        <f t="shared" si="17"/>
        <v>0</v>
      </c>
      <c r="H115" s="472">
        <f>+SUM(C115:G115)</f>
        <v>12.1265</v>
      </c>
    </row>
    <row r="116" spans="2:8" ht="15.75" thickBot="1">
      <c r="B116" s="475" t="s">
        <v>349</v>
      </c>
      <c r="C116" s="689">
        <f t="shared" ref="C116:H116" si="18">+C114+C106+C111</f>
        <v>29.545566321428609</v>
      </c>
      <c r="D116" s="476">
        <f t="shared" si="18"/>
        <v>8.1359999999999992</v>
      </c>
      <c r="E116" s="689">
        <f t="shared" si="18"/>
        <v>51.325000000000003</v>
      </c>
      <c r="F116" s="476">
        <f t="shared" si="18"/>
        <v>33.36</v>
      </c>
      <c r="G116" s="689">
        <f t="shared" si="18"/>
        <v>0.79200000000000004</v>
      </c>
      <c r="H116" s="477">
        <f t="shared" si="18"/>
        <v>123.15856632142861</v>
      </c>
    </row>
    <row r="117" spans="2:8" ht="15.75" thickBot="1">
      <c r="B117" s="475" t="s">
        <v>349</v>
      </c>
      <c r="C117" s="689">
        <f t="shared" ref="C117:H117" si="19">C109+C112+C115</f>
        <v>18.054424741071465</v>
      </c>
      <c r="D117" s="689">
        <f t="shared" si="19"/>
        <v>1.4548333333333332</v>
      </c>
      <c r="E117" s="689">
        <f t="shared" si="19"/>
        <v>28.512499999999996</v>
      </c>
      <c r="F117" s="689">
        <f t="shared" si="19"/>
        <v>17.16491666666667</v>
      </c>
      <c r="G117" s="689">
        <f t="shared" si="19"/>
        <v>0.13200000000000001</v>
      </c>
      <c r="H117" s="973">
        <f t="shared" si="19"/>
        <v>65.318674741071462</v>
      </c>
    </row>
  </sheetData>
  <sheetProtection password="CC27" sheet="1" formatCells="0" formatColumns="0" formatRows="0" insertColumns="0" insertRows="0" insertHyperlinks="0" deleteColumns="0" deleteRows="0" sort="0" autoFilter="0" pivotTables="0"/>
  <mergeCells count="17">
    <mergeCell ref="B61:C68"/>
    <mergeCell ref="BA3:BF3"/>
    <mergeCell ref="B70:C70"/>
    <mergeCell ref="B69:C69"/>
    <mergeCell ref="E3:P3"/>
    <mergeCell ref="Q3:AB3"/>
    <mergeCell ref="AC3:AN3"/>
    <mergeCell ref="AO3:AZ3"/>
    <mergeCell ref="B5:B39"/>
    <mergeCell ref="B4:D4"/>
    <mergeCell ref="C49:C57"/>
    <mergeCell ref="C58:C59"/>
    <mergeCell ref="C5:C20"/>
    <mergeCell ref="C21:C39"/>
    <mergeCell ref="B42:C42"/>
    <mergeCell ref="B43:C48"/>
    <mergeCell ref="B49:B60"/>
  </mergeCells>
  <phoneticPr fontId="22" type="noConversion"/>
  <pageMargins left="0.39370078740157483" right="0.39370078740157483" top="0.59055118110236227" bottom="0.59055118110236227" header="0" footer="0"/>
  <pageSetup scale="80" orientation="landscape" r:id="rId1"/>
  <headerFooter alignWithMargins="0">
    <oddHeader>&amp;RPLAN DE EXPANSIÓN</oddHeader>
    <oddFooter>&amp;C IMP ETESA&amp;R&amp;P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3:H22"/>
  <sheetViews>
    <sheetView zoomScale="75" workbookViewId="0">
      <selection activeCell="E21" sqref="E21"/>
    </sheetView>
  </sheetViews>
  <sheetFormatPr baseColWidth="10" defaultRowHeight="12.75"/>
  <cols>
    <col min="1" max="1" width="6.28515625" customWidth="1"/>
    <col min="2" max="2" width="58.140625" customWidth="1"/>
    <col min="3" max="3" width="11.28515625" customWidth="1"/>
    <col min="4" max="4" width="16" customWidth="1"/>
  </cols>
  <sheetData>
    <row r="3" spans="2:4" ht="13.5" thickBot="1"/>
    <row r="4" spans="2:4" ht="33" customHeight="1" thickTop="1">
      <c r="B4" s="669" t="s">
        <v>738</v>
      </c>
      <c r="C4" s="669" t="s">
        <v>530</v>
      </c>
      <c r="D4" s="669" t="s">
        <v>717</v>
      </c>
    </row>
    <row r="5" spans="2:4" ht="12.75" customHeight="1">
      <c r="B5" s="632" t="s">
        <v>723</v>
      </c>
      <c r="C5" s="977">
        <v>21.55</v>
      </c>
      <c r="D5" s="670" t="s">
        <v>753</v>
      </c>
    </row>
    <row r="6" spans="2:4">
      <c r="B6" s="632" t="s">
        <v>699</v>
      </c>
      <c r="C6" s="977">
        <v>3.3380000000000001</v>
      </c>
      <c r="D6" s="671">
        <v>40725</v>
      </c>
    </row>
    <row r="7" spans="2:4">
      <c r="B7" s="632" t="s">
        <v>747</v>
      </c>
      <c r="C7" s="977">
        <v>15.847999999999999</v>
      </c>
      <c r="D7" s="671">
        <v>40725</v>
      </c>
    </row>
    <row r="8" spans="2:4">
      <c r="B8" s="632" t="s">
        <v>724</v>
      </c>
      <c r="C8" s="977">
        <v>8.6999999999999993</v>
      </c>
      <c r="D8" s="671">
        <v>40725</v>
      </c>
    </row>
    <row r="9" spans="2:4">
      <c r="B9" s="632" t="s">
        <v>725</v>
      </c>
      <c r="C9" s="977">
        <v>3.5550000000000002</v>
      </c>
      <c r="D9" s="671">
        <v>40725</v>
      </c>
    </row>
    <row r="10" spans="2:4">
      <c r="B10" s="1" t="s">
        <v>775</v>
      </c>
      <c r="C10" s="978">
        <v>0.94199999999999995</v>
      </c>
      <c r="D10" s="671"/>
    </row>
    <row r="11" spans="2:4">
      <c r="B11" s="672" t="s">
        <v>658</v>
      </c>
      <c r="C11" s="979">
        <f>SUM(C5:C10)</f>
        <v>53.933000000000007</v>
      </c>
      <c r="D11" s="673"/>
    </row>
    <row r="12" spans="2:4" ht="16.5" customHeight="1">
      <c r="B12" s="632" t="s">
        <v>721</v>
      </c>
      <c r="C12" s="977">
        <v>5.5110000000000001</v>
      </c>
      <c r="D12" s="671">
        <v>41091</v>
      </c>
    </row>
    <row r="13" spans="2:4" ht="18.75" customHeight="1">
      <c r="B13" s="632" t="s">
        <v>722</v>
      </c>
      <c r="C13" s="977">
        <v>5.5780000000000012</v>
      </c>
      <c r="D13" s="671">
        <f>+D12</f>
        <v>41091</v>
      </c>
    </row>
    <row r="14" spans="2:4" ht="18.75" customHeight="1">
      <c r="B14" s="632" t="s">
        <v>719</v>
      </c>
      <c r="C14" s="977">
        <v>8</v>
      </c>
      <c r="D14" s="671">
        <f>+D13</f>
        <v>41091</v>
      </c>
    </row>
    <row r="15" spans="2:4" ht="18.75" customHeight="1">
      <c r="B15" s="632" t="s">
        <v>720</v>
      </c>
      <c r="C15" s="977">
        <v>2.6669999999999998</v>
      </c>
      <c r="D15" s="671">
        <f>+D14</f>
        <v>41091</v>
      </c>
    </row>
    <row r="16" spans="2:4" ht="18.75" customHeight="1">
      <c r="B16" s="672" t="s">
        <v>677</v>
      </c>
      <c r="C16" s="979">
        <f>+SUM(C12:C15)</f>
        <v>21.756</v>
      </c>
      <c r="D16" s="673"/>
    </row>
    <row r="17" spans="2:8" ht="18" customHeight="1">
      <c r="B17" s="674" t="s">
        <v>726</v>
      </c>
      <c r="C17" s="979">
        <v>1.518</v>
      </c>
      <c r="D17" s="675">
        <v>40544</v>
      </c>
    </row>
    <row r="18" spans="2:8">
      <c r="B18" s="674" t="s">
        <v>684</v>
      </c>
      <c r="C18" s="979">
        <f>'PLAN EXPANSIÓN'!BG48</f>
        <v>17.420999999999996</v>
      </c>
      <c r="D18" s="675">
        <v>40725</v>
      </c>
    </row>
    <row r="19" spans="2:8" ht="15" customHeight="1">
      <c r="B19" s="674" t="s">
        <v>751</v>
      </c>
      <c r="C19" s="979">
        <v>7.5309999999999997</v>
      </c>
      <c r="D19" s="676"/>
    </row>
    <row r="20" spans="2:8" ht="15" customHeight="1">
      <c r="B20" s="674" t="s">
        <v>752</v>
      </c>
      <c r="C20" s="979">
        <v>20.155000000000001</v>
      </c>
      <c r="D20" s="676"/>
    </row>
    <row r="21" spans="2:8" s="1" customFormat="1" ht="18.75" customHeight="1" thickBot="1">
      <c r="B21" s="677" t="s">
        <v>718</v>
      </c>
      <c r="C21" s="980">
        <f>+C11+C16+C17+C18+C19+C20</f>
        <v>122.31400000000001</v>
      </c>
      <c r="D21" s="678"/>
    </row>
    <row r="22" spans="2:8" ht="13.5" thickTop="1">
      <c r="H22" s="79"/>
    </row>
  </sheetData>
  <sheetProtection password="CC27" sheet="1" formatCells="0" formatColumns="0" formatRows="0" insertColumns="0" insertRows="0" insertHyperlinks="0" deleteColumns="0" deleteRows="0" sort="0" autoFilter="0" pivotTables="0"/>
  <phoneticPr fontId="22" type="noConversion"/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>
    <oddHeader>&amp;RPLAN DE EXPANSIÓN RESUMEN</oddHeader>
    <oddFooter>&amp;C IMP ETESA&amp;R&amp;P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54"/>
  <sheetViews>
    <sheetView topLeftCell="A21" zoomScale="75" workbookViewId="0">
      <selection activeCell="G46" sqref="G46"/>
    </sheetView>
  </sheetViews>
  <sheetFormatPr baseColWidth="10" defaultRowHeight="12.75"/>
  <cols>
    <col min="2" max="2" width="12" customWidth="1"/>
    <col min="3" max="3" width="30.140625" customWidth="1"/>
    <col min="4" max="4" width="14.5703125" customWidth="1"/>
    <col min="5" max="5" width="13.5703125" bestFit="1" customWidth="1"/>
    <col min="6" max="6" width="15" customWidth="1"/>
    <col min="7" max="7" width="16" customWidth="1"/>
    <col min="8" max="8" width="12.28515625" style="33" customWidth="1"/>
    <col min="9" max="9" width="14.140625" hidden="1" customWidth="1"/>
    <col min="11" max="12" width="12.85546875" bestFit="1" customWidth="1"/>
  </cols>
  <sheetData>
    <row r="2" spans="2:9" ht="20.25">
      <c r="B2" s="40" t="s">
        <v>336</v>
      </c>
    </row>
    <row r="4" spans="2:9">
      <c r="B4" s="1084" t="s">
        <v>219</v>
      </c>
      <c r="C4" s="1084"/>
      <c r="D4" s="1084"/>
      <c r="E4" s="1084"/>
      <c r="F4" s="1084"/>
      <c r="G4" s="1084"/>
      <c r="H4" s="1084"/>
    </row>
    <row r="5" spans="2:9">
      <c r="B5" s="1083" t="s">
        <v>713</v>
      </c>
      <c r="C5" s="1083"/>
      <c r="D5" s="1083"/>
      <c r="E5" s="1083"/>
      <c r="F5" s="1083"/>
      <c r="G5" s="1083"/>
      <c r="H5" s="1083"/>
    </row>
    <row r="6" spans="2:9" ht="13.5" thickBot="1">
      <c r="B6" s="839"/>
      <c r="C6" s="839"/>
      <c r="D6" s="839"/>
      <c r="E6" s="839"/>
      <c r="F6" s="839"/>
      <c r="G6" s="839" t="s">
        <v>98</v>
      </c>
      <c r="H6" s="1016"/>
    </row>
    <row r="7" spans="2:9" ht="12.75" customHeight="1" thickBot="1">
      <c r="B7" s="1017" t="s">
        <v>98</v>
      </c>
      <c r="C7" s="1018" t="s">
        <v>23</v>
      </c>
      <c r="D7" s="1019"/>
      <c r="E7" s="1134" t="s">
        <v>59</v>
      </c>
      <c r="F7" s="1135"/>
      <c r="G7" s="1135"/>
      <c r="H7" s="1136"/>
    </row>
    <row r="8" spans="2:9" ht="26.25" thickBot="1">
      <c r="B8" s="1021"/>
      <c r="C8" s="1022" t="s">
        <v>99</v>
      </c>
      <c r="D8" s="1023" t="s">
        <v>100</v>
      </c>
      <c r="E8" s="1024" t="s">
        <v>101</v>
      </c>
      <c r="F8" s="1022" t="s">
        <v>102</v>
      </c>
      <c r="G8" s="1023" t="s">
        <v>57</v>
      </c>
      <c r="H8" s="1025" t="s">
        <v>229</v>
      </c>
    </row>
    <row r="9" spans="2:9" ht="13.5" thickBot="1">
      <c r="B9" s="1026"/>
      <c r="C9" s="1027"/>
      <c r="D9" s="1027"/>
      <c r="E9" s="1028">
        <f>+SUM(E11:E21)</f>
        <v>882.99</v>
      </c>
      <c r="F9" s="1027"/>
      <c r="G9" s="1027"/>
      <c r="H9" s="1029"/>
    </row>
    <row r="10" spans="2:9" ht="12.75" customHeight="1" thickBot="1">
      <c r="B10" s="1137" t="s">
        <v>104</v>
      </c>
      <c r="C10" s="1141" t="s">
        <v>105</v>
      </c>
      <c r="D10" s="1142"/>
      <c r="E10" s="1142"/>
      <c r="F10" s="1142"/>
      <c r="G10" s="1142"/>
      <c r="H10" s="1143"/>
      <c r="I10" s="36"/>
    </row>
    <row r="11" spans="2:9" ht="12.75" customHeight="1">
      <c r="B11" s="1138"/>
      <c r="C11" s="1030" t="s">
        <v>106</v>
      </c>
      <c r="D11" s="1031" t="s">
        <v>107</v>
      </c>
      <c r="E11" s="1144">
        <v>68.14</v>
      </c>
      <c r="F11" s="1146">
        <v>186</v>
      </c>
      <c r="G11" s="1144">
        <v>12925900</v>
      </c>
      <c r="H11" s="1148">
        <f>G11/E11</f>
        <v>189696.21367772232</v>
      </c>
      <c r="I11" s="36"/>
    </row>
    <row r="12" spans="2:9" ht="12.75" customHeight="1">
      <c r="B12" s="1138"/>
      <c r="C12" s="1032" t="s">
        <v>108</v>
      </c>
      <c r="D12" s="1033" t="s">
        <v>109</v>
      </c>
      <c r="E12" s="1145"/>
      <c r="F12" s="1147"/>
      <c r="G12" s="1145"/>
      <c r="H12" s="1149"/>
      <c r="I12" s="36"/>
    </row>
    <row r="13" spans="2:9" ht="12.75" customHeight="1">
      <c r="B13" s="1138"/>
      <c r="C13" s="1032" t="s">
        <v>110</v>
      </c>
      <c r="D13" s="1033" t="s">
        <v>111</v>
      </c>
      <c r="E13" s="1034">
        <v>12.94</v>
      </c>
      <c r="F13" s="1035">
        <v>35</v>
      </c>
      <c r="G13" s="1034">
        <v>2454670</v>
      </c>
      <c r="H13" s="1036">
        <f t="shared" ref="H13:H21" si="0">G13/E13</f>
        <v>189696.29057187017</v>
      </c>
      <c r="I13" s="36"/>
    </row>
    <row r="14" spans="2:9" ht="12.75" customHeight="1">
      <c r="B14" s="1138"/>
      <c r="C14" s="1032" t="s">
        <v>63</v>
      </c>
      <c r="D14" s="1033" t="s">
        <v>112</v>
      </c>
      <c r="E14" s="1034">
        <v>39</v>
      </c>
      <c r="F14" s="1035">
        <v>107</v>
      </c>
      <c r="G14" s="1034">
        <v>6989340</v>
      </c>
      <c r="H14" s="1036">
        <f t="shared" si="0"/>
        <v>179213.84615384616</v>
      </c>
      <c r="I14" s="36"/>
    </row>
    <row r="15" spans="2:9" ht="12.75" customHeight="1">
      <c r="B15" s="1138"/>
      <c r="C15" s="1032" t="s">
        <v>64</v>
      </c>
      <c r="D15" s="1033" t="s">
        <v>113</v>
      </c>
      <c r="E15" s="1034">
        <v>142.19</v>
      </c>
      <c r="F15" s="1035">
        <v>353</v>
      </c>
      <c r="G15" s="1034">
        <v>25482400</v>
      </c>
      <c r="H15" s="1036">
        <f t="shared" si="0"/>
        <v>179213.728110275</v>
      </c>
      <c r="I15" s="36"/>
    </row>
    <row r="16" spans="2:9" ht="12.75" customHeight="1">
      <c r="B16" s="1138"/>
      <c r="C16" s="1032" t="s">
        <v>114</v>
      </c>
      <c r="D16" s="1033" t="s">
        <v>115</v>
      </c>
      <c r="E16" s="1034">
        <v>109.36</v>
      </c>
      <c r="F16" s="1035">
        <v>274</v>
      </c>
      <c r="G16" s="1034">
        <v>19598810</v>
      </c>
      <c r="H16" s="1036">
        <f t="shared" si="0"/>
        <v>179213.69787856619</v>
      </c>
      <c r="I16" s="36"/>
    </row>
    <row r="17" spans="2:12" ht="12.75" customHeight="1">
      <c r="B17" s="1138"/>
      <c r="C17" s="1032" t="s">
        <v>116</v>
      </c>
      <c r="D17" s="1033" t="s">
        <v>117</v>
      </c>
      <c r="E17" s="1034">
        <v>84.49</v>
      </c>
      <c r="F17" s="1035">
        <v>219</v>
      </c>
      <c r="G17" s="1034">
        <v>15141770</v>
      </c>
      <c r="H17" s="1036">
        <f t="shared" si="0"/>
        <v>179213.75310687657</v>
      </c>
      <c r="I17" s="36"/>
    </row>
    <row r="18" spans="2:12" ht="12.75" customHeight="1">
      <c r="B18" s="1138"/>
      <c r="C18" s="1032" t="s">
        <v>118</v>
      </c>
      <c r="D18" s="1033" t="s">
        <v>119</v>
      </c>
      <c r="E18" s="1034">
        <v>37.5</v>
      </c>
      <c r="F18" s="1035">
        <v>96</v>
      </c>
      <c r="G18" s="1034">
        <v>6720510</v>
      </c>
      <c r="H18" s="1036">
        <f t="shared" si="0"/>
        <v>179213.6</v>
      </c>
      <c r="I18" s="36"/>
    </row>
    <row r="19" spans="2:12" ht="12.75" customHeight="1">
      <c r="B19" s="1138"/>
      <c r="C19" s="1032" t="s">
        <v>120</v>
      </c>
      <c r="D19" s="1033" t="s">
        <v>121</v>
      </c>
      <c r="E19" s="1034">
        <v>110.07</v>
      </c>
      <c r="F19" s="1035">
        <v>274</v>
      </c>
      <c r="G19" s="1034">
        <v>25204670</v>
      </c>
      <c r="H19" s="1036">
        <f t="shared" si="0"/>
        <v>228987.6442264014</v>
      </c>
      <c r="I19" s="36"/>
    </row>
    <row r="20" spans="2:12" ht="12.75" customHeight="1">
      <c r="B20" s="1138"/>
      <c r="C20" s="1032" t="s">
        <v>122</v>
      </c>
      <c r="D20" s="1033" t="s">
        <v>123</v>
      </c>
      <c r="E20" s="1034">
        <v>84.3</v>
      </c>
      <c r="F20" s="1035">
        <v>232</v>
      </c>
      <c r="G20" s="1034">
        <v>19303660</v>
      </c>
      <c r="H20" s="1036">
        <f t="shared" si="0"/>
        <v>228987.66310794782</v>
      </c>
      <c r="I20" s="36"/>
    </row>
    <row r="21" spans="2:12" ht="12.75" customHeight="1" thickBot="1">
      <c r="B21" s="1138"/>
      <c r="C21" s="1037" t="s">
        <v>325</v>
      </c>
      <c r="D21" s="1038">
        <v>230</v>
      </c>
      <c r="E21" s="1039">
        <v>195</v>
      </c>
      <c r="F21" s="1040">
        <v>571</v>
      </c>
      <c r="G21" s="1039">
        <v>44652590</v>
      </c>
      <c r="H21" s="1041">
        <f t="shared" si="0"/>
        <v>228987.64102564103</v>
      </c>
      <c r="I21" s="36"/>
      <c r="J21" s="36"/>
    </row>
    <row r="22" spans="2:12" ht="13.5" thickBot="1">
      <c r="B22" s="1138"/>
      <c r="C22" s="1156" t="s">
        <v>124</v>
      </c>
      <c r="D22" s="1157"/>
      <c r="E22" s="1157"/>
      <c r="F22" s="1157"/>
      <c r="G22" s="1157"/>
      <c r="H22" s="1158"/>
      <c r="I22" s="36"/>
    </row>
    <row r="23" spans="2:12" ht="25.5">
      <c r="B23" s="1138"/>
      <c r="C23" s="1042" t="s">
        <v>125</v>
      </c>
      <c r="D23" s="1043" t="s">
        <v>126</v>
      </c>
      <c r="E23" s="1044">
        <v>6.2</v>
      </c>
      <c r="F23" s="1045">
        <v>19</v>
      </c>
      <c r="G23" s="1045">
        <v>1000990</v>
      </c>
      <c r="H23" s="1046">
        <f>G23/E23</f>
        <v>161450</v>
      </c>
      <c r="I23" s="36"/>
    </row>
    <row r="24" spans="2:12">
      <c r="B24" s="1138"/>
      <c r="C24" s="1047" t="s">
        <v>538</v>
      </c>
      <c r="D24" s="1048" t="s">
        <v>127</v>
      </c>
      <c r="E24" s="1049">
        <f>21+26</f>
        <v>47</v>
      </c>
      <c r="F24" s="1050">
        <v>145</v>
      </c>
      <c r="G24" s="1050">
        <v>9006450</v>
      </c>
      <c r="H24" s="1051">
        <f>G24/E24</f>
        <v>191626.59574468085</v>
      </c>
      <c r="I24" s="36"/>
      <c r="K24" s="207"/>
    </row>
    <row r="25" spans="2:12" ht="25.5">
      <c r="B25" s="1138"/>
      <c r="C25" s="1052" t="s">
        <v>326</v>
      </c>
      <c r="D25" s="1053" t="s">
        <v>128</v>
      </c>
      <c r="E25" s="1165">
        <f>22.5+14.8+16.7</f>
        <v>54</v>
      </c>
      <c r="F25" s="1165">
        <v>147</v>
      </c>
      <c r="G25" s="1150">
        <v>8718330</v>
      </c>
      <c r="H25" s="1152">
        <f>G25/E25</f>
        <v>161450.55555555556</v>
      </c>
      <c r="I25" s="36"/>
    </row>
    <row r="26" spans="2:12" ht="25.5">
      <c r="B26" s="1139"/>
      <c r="C26" s="1054" t="s">
        <v>327</v>
      </c>
      <c r="D26" s="1055" t="s">
        <v>129</v>
      </c>
      <c r="E26" s="1166"/>
      <c r="F26" s="1166"/>
      <c r="G26" s="1151"/>
      <c r="H26" s="1153"/>
      <c r="I26" s="36"/>
      <c r="K26" s="36"/>
    </row>
    <row r="27" spans="2:12" ht="13.5" thickBot="1">
      <c r="B27" s="1140"/>
      <c r="C27" s="1056" t="s">
        <v>68</v>
      </c>
      <c r="D27" s="1057" t="s">
        <v>130</v>
      </c>
      <c r="E27" s="1058">
        <v>25</v>
      </c>
      <c r="F27" s="1059">
        <v>66</v>
      </c>
      <c r="G27" s="1059">
        <v>4036260</v>
      </c>
      <c r="H27" s="1060">
        <f>G27/E27</f>
        <v>161450.4</v>
      </c>
      <c r="I27" s="36"/>
    </row>
    <row r="28" spans="2:12" ht="13.5" customHeight="1" thickBot="1">
      <c r="B28" s="1167" t="s">
        <v>65</v>
      </c>
      <c r="C28" s="1169" t="s">
        <v>105</v>
      </c>
      <c r="D28" s="1170"/>
      <c r="E28" s="1170"/>
      <c r="F28" s="1170"/>
      <c r="G28" s="1170"/>
      <c r="H28" s="1171"/>
      <c r="I28" s="36"/>
    </row>
    <row r="29" spans="2:12">
      <c r="B29" s="1168"/>
      <c r="C29" s="1061" t="s">
        <v>67</v>
      </c>
      <c r="D29" s="1062" t="s">
        <v>131</v>
      </c>
      <c r="E29" s="1063">
        <v>54</v>
      </c>
      <c r="F29" s="1064">
        <v>154</v>
      </c>
      <c r="G29" s="1064">
        <v>6380420</v>
      </c>
      <c r="H29" s="1065">
        <f>G29/E29</f>
        <v>118155.92592592593</v>
      </c>
      <c r="I29" s="36"/>
      <c r="L29" s="8"/>
    </row>
    <row r="30" spans="2:12">
      <c r="B30" s="1168"/>
      <c r="C30" s="1066" t="s">
        <v>132</v>
      </c>
      <c r="D30" s="1067" t="s">
        <v>133</v>
      </c>
      <c r="E30" s="1068">
        <v>9.6999999999999993</v>
      </c>
      <c r="F30" s="1069">
        <v>29</v>
      </c>
      <c r="G30" s="1069">
        <v>1146110</v>
      </c>
      <c r="H30" s="1070">
        <f>G30/E30</f>
        <v>118155.67010309279</v>
      </c>
      <c r="I30" s="36"/>
    </row>
    <row r="31" spans="2:12">
      <c r="B31" s="1168"/>
      <c r="C31" s="1066" t="s">
        <v>134</v>
      </c>
      <c r="D31" s="1067" t="s">
        <v>135</v>
      </c>
      <c r="E31" s="1068">
        <v>16</v>
      </c>
      <c r="F31" s="1069">
        <v>42</v>
      </c>
      <c r="G31" s="1069">
        <v>3141680</v>
      </c>
      <c r="H31" s="1070">
        <f>G31/E31</f>
        <v>196355</v>
      </c>
      <c r="I31" s="36"/>
    </row>
    <row r="32" spans="2:12" ht="20.25" customHeight="1" thickBot="1">
      <c r="B32" s="1168"/>
      <c r="C32" s="1071" t="s">
        <v>773</v>
      </c>
      <c r="D32" s="1072">
        <v>230</v>
      </c>
      <c r="E32" s="1073">
        <v>117</v>
      </c>
      <c r="F32" s="1074"/>
      <c r="G32" s="1074">
        <v>17490300</v>
      </c>
      <c r="H32" s="1075">
        <f>G32/E32</f>
        <v>149489.74358974359</v>
      </c>
      <c r="I32" s="36"/>
    </row>
    <row r="33" spans="2:11" ht="13.5" thickBot="1">
      <c r="B33" s="1168"/>
      <c r="C33" s="1172" t="s">
        <v>124</v>
      </c>
      <c r="D33" s="1173"/>
      <c r="E33" s="1173"/>
      <c r="F33" s="1173"/>
      <c r="G33" s="1173"/>
      <c r="H33" s="1174"/>
      <c r="I33" s="36"/>
    </row>
    <row r="34" spans="2:11" ht="13.5" thickBot="1">
      <c r="B34" s="1168"/>
      <c r="C34" s="1054" t="s">
        <v>539</v>
      </c>
      <c r="D34" s="1055" t="s">
        <v>136</v>
      </c>
      <c r="E34" s="1076">
        <v>0.8</v>
      </c>
      <c r="F34" s="1077">
        <v>6</v>
      </c>
      <c r="G34" s="1078">
        <v>1017035.7640148328</v>
      </c>
      <c r="H34" s="1079">
        <f>G34/E34</f>
        <v>1271294.7050185408</v>
      </c>
      <c r="I34" s="36"/>
    </row>
    <row r="35" spans="2:11" ht="20.25" customHeight="1" thickBot="1">
      <c r="B35" s="1020"/>
      <c r="C35" s="1080" t="s">
        <v>137</v>
      </c>
      <c r="D35" s="1080"/>
      <c r="E35" s="1080" t="s">
        <v>98</v>
      </c>
      <c r="F35" s="1080"/>
      <c r="G35" s="1175">
        <f>SUM(G11:G21,G23:G27,G29:G32,G34)</f>
        <v>230411895.76401484</v>
      </c>
      <c r="H35" s="1176"/>
      <c r="I35" s="36"/>
    </row>
    <row r="36" spans="2:11" ht="13.5" thickBot="1">
      <c r="B36" s="196"/>
      <c r="C36" s="190"/>
      <c r="D36" s="190"/>
      <c r="E36" s="190"/>
      <c r="F36" s="190"/>
      <c r="G36" s="190"/>
      <c r="H36" s="195"/>
      <c r="I36" s="36"/>
      <c r="K36" s="36"/>
    </row>
    <row r="37" spans="2:11" ht="18" customHeight="1" thickBot="1">
      <c r="B37" s="188"/>
      <c r="C37" s="197" t="s">
        <v>36</v>
      </c>
      <c r="D37" s="198"/>
      <c r="E37" s="1159" t="s">
        <v>59</v>
      </c>
      <c r="F37" s="1160"/>
      <c r="G37" s="1160"/>
      <c r="H37" s="1161"/>
      <c r="I37" s="36"/>
    </row>
    <row r="38" spans="2:11" ht="26.25" thickBot="1">
      <c r="B38" s="189"/>
      <c r="C38" s="199" t="s">
        <v>99</v>
      </c>
      <c r="D38" s="200" t="s">
        <v>100</v>
      </c>
      <c r="E38" s="201" t="s">
        <v>101</v>
      </c>
      <c r="F38" s="202" t="s">
        <v>102</v>
      </c>
      <c r="G38" s="203" t="s">
        <v>57</v>
      </c>
      <c r="H38" s="199" t="s">
        <v>103</v>
      </c>
      <c r="I38" s="36"/>
    </row>
    <row r="39" spans="2:11" s="4" customFormat="1" ht="13.5" thickBot="1">
      <c r="B39" s="192"/>
      <c r="C39" s="190"/>
      <c r="D39" s="190"/>
      <c r="E39" s="190"/>
      <c r="F39" s="190"/>
      <c r="G39" s="190"/>
      <c r="H39" s="193"/>
      <c r="I39" s="47"/>
    </row>
    <row r="40" spans="2:11" ht="13.5" customHeight="1" thickBot="1">
      <c r="B40" s="1162" t="s">
        <v>65</v>
      </c>
      <c r="C40" s="1159" t="s">
        <v>124</v>
      </c>
      <c r="D40" s="1160"/>
      <c r="E40" s="1160"/>
      <c r="F40" s="1160"/>
      <c r="G40" s="1160"/>
      <c r="H40" s="1161"/>
      <c r="I40" s="36"/>
    </row>
    <row r="41" spans="2:11">
      <c r="B41" s="1163"/>
      <c r="C41" s="101" t="s">
        <v>69</v>
      </c>
      <c r="D41" s="204" t="s">
        <v>138</v>
      </c>
      <c r="E41" s="208">
        <v>5.8</v>
      </c>
      <c r="F41" s="209">
        <v>17</v>
      </c>
      <c r="G41" s="212">
        <v>623020</v>
      </c>
      <c r="H41" s="205">
        <f>G41/E41</f>
        <v>107417.24137931035</v>
      </c>
      <c r="I41" s="36"/>
      <c r="J41" s="581"/>
    </row>
    <row r="42" spans="2:11">
      <c r="B42" s="1163"/>
      <c r="C42" s="85" t="s">
        <v>70</v>
      </c>
      <c r="D42" s="206" t="s">
        <v>139</v>
      </c>
      <c r="E42" s="210">
        <v>2</v>
      </c>
      <c r="F42" s="211">
        <v>6</v>
      </c>
      <c r="G42" s="212">
        <v>214830</v>
      </c>
      <c r="H42" s="191">
        <f>G42/E42</f>
        <v>107415</v>
      </c>
      <c r="I42" s="36"/>
      <c r="J42" s="581"/>
    </row>
    <row r="43" spans="2:11">
      <c r="B43" s="1163"/>
      <c r="C43" s="85" t="s">
        <v>82</v>
      </c>
      <c r="D43" s="206" t="s">
        <v>140</v>
      </c>
      <c r="E43" s="210">
        <v>0.5</v>
      </c>
      <c r="F43" s="211">
        <v>2</v>
      </c>
      <c r="G43" s="212">
        <v>53710</v>
      </c>
      <c r="H43" s="191">
        <f>G43/E43</f>
        <v>107420</v>
      </c>
      <c r="I43" s="36"/>
    </row>
    <row r="44" spans="2:11" ht="13.5" thickBot="1">
      <c r="B44" s="1164"/>
      <c r="C44" s="690" t="s">
        <v>71</v>
      </c>
      <c r="D44" s="691" t="s">
        <v>141</v>
      </c>
      <c r="E44" s="692">
        <v>30</v>
      </c>
      <c r="F44" s="693">
        <v>80</v>
      </c>
      <c r="G44" s="694">
        <v>3222520</v>
      </c>
      <c r="H44" s="695">
        <f>G44/E44</f>
        <v>107417.33333333333</v>
      </c>
      <c r="I44" s="36"/>
    </row>
    <row r="45" spans="2:11" ht="17.25" customHeight="1" thickBot="1">
      <c r="B45" s="588"/>
      <c r="C45" s="194" t="s">
        <v>142</v>
      </c>
      <c r="D45" s="194"/>
      <c r="E45" s="194" t="s">
        <v>98</v>
      </c>
      <c r="F45" s="194"/>
      <c r="G45" s="1154">
        <f>SUM(G41:G44)</f>
        <v>4114080</v>
      </c>
      <c r="H45" s="1155"/>
      <c r="I45" s="36"/>
    </row>
    <row r="47" spans="2:11">
      <c r="E47" s="94"/>
      <c r="F47" s="94"/>
      <c r="G47" s="94"/>
      <c r="H47" s="48"/>
    </row>
    <row r="48" spans="2:11">
      <c r="C48" s="1"/>
      <c r="D48" s="36"/>
      <c r="E48" s="36"/>
      <c r="F48" s="36"/>
      <c r="G48" s="48"/>
      <c r="H48" s="48"/>
    </row>
    <row r="49" spans="3:3">
      <c r="C49" s="1" t="s">
        <v>768</v>
      </c>
    </row>
    <row r="51" spans="3:3">
      <c r="C51" s="21" t="s">
        <v>769</v>
      </c>
    </row>
    <row r="52" spans="3:3">
      <c r="C52" s="21" t="s">
        <v>770</v>
      </c>
    </row>
    <row r="53" spans="3:3">
      <c r="C53" s="21" t="s">
        <v>771</v>
      </c>
    </row>
    <row r="54" spans="3:3">
      <c r="C54" s="21" t="s">
        <v>772</v>
      </c>
    </row>
  </sheetData>
  <sheetProtection password="CC27" sheet="1" formatCells="0" formatColumns="0" formatRows="0" insertColumns="0" insertRows="0" insertHyperlinks="0" deleteColumns="0" deleteRows="0" sort="0" autoFilter="0" pivotTables="0"/>
  <mergeCells count="22">
    <mergeCell ref="G45:H45"/>
    <mergeCell ref="C22:H22"/>
    <mergeCell ref="E37:H37"/>
    <mergeCell ref="B40:B44"/>
    <mergeCell ref="C40:H40"/>
    <mergeCell ref="F25:F26"/>
    <mergeCell ref="B28:B34"/>
    <mergeCell ref="C28:H28"/>
    <mergeCell ref="C33:H33"/>
    <mergeCell ref="G35:H35"/>
    <mergeCell ref="E25:E26"/>
    <mergeCell ref="B4:H4"/>
    <mergeCell ref="E7:H7"/>
    <mergeCell ref="B10:B27"/>
    <mergeCell ref="C10:H10"/>
    <mergeCell ref="E11:E12"/>
    <mergeCell ref="F11:F12"/>
    <mergeCell ref="G11:G12"/>
    <mergeCell ref="H11:H12"/>
    <mergeCell ref="G25:G26"/>
    <mergeCell ref="H25:H26"/>
    <mergeCell ref="B5:H5"/>
  </mergeCells>
  <phoneticPr fontId="0" type="noConversion"/>
  <printOptions horizontalCentered="1" verticalCentered="1"/>
  <pageMargins left="0.39370078740157483" right="0.39370078740157483" top="0.39370078740157483" bottom="0.59055118110236227" header="0.19685039370078741" footer="0.19685039370078741"/>
  <pageSetup scale="70" orientation="landscape" r:id="rId1"/>
  <headerFooter alignWithMargins="0">
    <oddHeader>&amp;RVNR LINEAS</oddHeader>
    <oddFooter>&amp;C IMP ETESA&amp;R&amp;P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IMP</vt:lpstr>
      <vt:lpstr>ACTIVOS</vt:lpstr>
      <vt:lpstr>ART. 177</vt:lpstr>
      <vt:lpstr>EVOLUCIÓN BIENES</vt:lpstr>
      <vt:lpstr>BIENES 2008</vt:lpstr>
      <vt:lpstr>TASA DE DEPRECIACIÓN</vt:lpstr>
      <vt:lpstr>PLAN EXPANSIÓN</vt:lpstr>
      <vt:lpstr>PLAN EXPANSIÓN_RES</vt:lpstr>
      <vt:lpstr>VNR LÍNEAS</vt:lpstr>
      <vt:lpstr>VNR SE</vt:lpstr>
      <vt:lpstr>VNR_ RES</vt:lpstr>
      <vt:lpstr>CND</vt:lpstr>
      <vt:lpstr>CND SOLICITADO</vt:lpstr>
      <vt:lpstr>CND AJUSTADO</vt:lpstr>
      <vt:lpstr>CND AJUSTADO -RES</vt:lpstr>
      <vt:lpstr>HID</vt:lpstr>
      <vt:lpstr>HID2</vt:lpstr>
      <vt:lpstr>'VNR_ RES'!Área_de_impresión</vt:lpstr>
      <vt:lpstr>RRT</vt:lpstr>
      <vt:lpstr>'CND AJUSTADO'!Títulos_a_imprimir</vt:lpstr>
      <vt:lpstr>'CND SOLICITADO'!Títulos_a_imprimir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Migues</dc:creator>
  <cp:lastModifiedBy>Valued Acer Customer</cp:lastModifiedBy>
  <cp:lastPrinted>2009-07-20T18:04:31Z</cp:lastPrinted>
  <dcterms:created xsi:type="dcterms:W3CDTF">2001-01-09T21:58:40Z</dcterms:created>
  <dcterms:modified xsi:type="dcterms:W3CDTF">2011-01-14T19:23:06Z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